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userName="s349016" algorithmName="SHA-512" hashValue="zQ/w8kfPZNoqMX8xxCzuNDMnQRh7ZceJeCjXZ6B5oIH/IdFI6GDwiTtuI/eOZRZHEdJ15HARrRZ25wGlaGa0Wg==" saltValue="QyG/K3BS/3x8cT8QHK8NZw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FD1FC896-A4C9-4B86-A26A-60B60913860B}" xr6:coauthVersionLast="47" xr6:coauthVersionMax="47" xr10:uidLastSave="{00000000-0000-0000-0000-000000000000}"/>
  <bookViews>
    <workbookView xWindow="-120" yWindow="-120" windowWidth="24240" windowHeight="13020" tabRatio="887" xr2:uid="{00000000-000D-0000-FFFF-FFFF00000000}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030" sheetId="48" r:id="rId33"/>
    <sheet name="P.031" sheetId="49" r:id="rId34"/>
    <sheet name="P.xyz - blank" sheetId="13" r:id="rId35"/>
  </sheets>
  <externalReferences>
    <externalReference r:id="rId36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4">'P.xyz - blank'!$A$1:$P$165</definedName>
    <definedName name="_xlnm.Print_Area" localSheetId="0">'PSO.Sch.11.Rates'!$A$1:$V$52</definedName>
    <definedName name="_xlnm.Print_Area" localSheetId="1">'PSO.WS.F.BPU.ATRR.Projected'!$A$1:$O$93</definedName>
    <definedName name="_xlnm.Print_Area" localSheetId="2">'PSO.WS.G.BPU.ATRR.True-up'!$A$1:$P$96</definedName>
    <definedName name="_xlnm.Print_Titles" localSheetId="1">'PSO.WS.F.BPU.ATRR.Projected'!$1:$6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" i="17" l="1"/>
  <c r="W47" i="17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O101" i="47"/>
  <c r="M101" i="47"/>
  <c r="O100" i="47"/>
  <c r="M100" i="47"/>
  <c r="D96" i="47"/>
  <c r="D94" i="47"/>
  <c r="L93" i="47"/>
  <c r="D93" i="47"/>
  <c r="D90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L36" i="47"/>
  <c r="N35" i="47"/>
  <c r="L35" i="47"/>
  <c r="N34" i="47"/>
  <c r="L34" i="47"/>
  <c r="N33" i="47"/>
  <c r="L33" i="47"/>
  <c r="N32" i="47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L20" i="47"/>
  <c r="N19" i="47"/>
  <c r="L19" i="47"/>
  <c r="N18" i="47"/>
  <c r="L18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K11" i="47"/>
  <c r="P83" i="47"/>
  <c r="P154" i="49"/>
  <c r="O154" i="49"/>
  <c r="M154" i="49"/>
  <c r="J154" i="49"/>
  <c r="P153" i="49"/>
  <c r="O153" i="49"/>
  <c r="M153" i="49"/>
  <c r="J153" i="49"/>
  <c r="P152" i="49"/>
  <c r="O152" i="49"/>
  <c r="M152" i="49"/>
  <c r="J152" i="49"/>
  <c r="P151" i="49"/>
  <c r="O151" i="49"/>
  <c r="M151" i="49"/>
  <c r="J151" i="49"/>
  <c r="P150" i="49"/>
  <c r="O150" i="49"/>
  <c r="M150" i="49"/>
  <c r="J150" i="49"/>
  <c r="P149" i="49"/>
  <c r="O149" i="49"/>
  <c r="M149" i="49"/>
  <c r="J149" i="49"/>
  <c r="P148" i="49"/>
  <c r="O148" i="49"/>
  <c r="M148" i="49"/>
  <c r="J148" i="49"/>
  <c r="P147" i="49"/>
  <c r="O147" i="49"/>
  <c r="M147" i="49"/>
  <c r="J147" i="49"/>
  <c r="P146" i="49"/>
  <c r="O146" i="49"/>
  <c r="M146" i="49"/>
  <c r="J146" i="49"/>
  <c r="P145" i="49"/>
  <c r="O145" i="49"/>
  <c r="M145" i="49"/>
  <c r="J145" i="49"/>
  <c r="P144" i="49"/>
  <c r="O144" i="49"/>
  <c r="M144" i="49"/>
  <c r="J144" i="49"/>
  <c r="P143" i="49"/>
  <c r="O143" i="49"/>
  <c r="M143" i="49"/>
  <c r="J143" i="49"/>
  <c r="P142" i="49"/>
  <c r="O142" i="49"/>
  <c r="M142" i="49"/>
  <c r="J142" i="49"/>
  <c r="P141" i="49"/>
  <c r="O141" i="49"/>
  <c r="M141" i="49"/>
  <c r="J141" i="49"/>
  <c r="P140" i="49"/>
  <c r="O140" i="49"/>
  <c r="M140" i="49"/>
  <c r="J140" i="49"/>
  <c r="P139" i="49"/>
  <c r="O139" i="49"/>
  <c r="M139" i="49"/>
  <c r="J139" i="49"/>
  <c r="P138" i="49"/>
  <c r="O138" i="49"/>
  <c r="M138" i="49"/>
  <c r="J138" i="49"/>
  <c r="P137" i="49"/>
  <c r="O137" i="49"/>
  <c r="M137" i="49"/>
  <c r="J137" i="49"/>
  <c r="P136" i="49"/>
  <c r="O136" i="49"/>
  <c r="M136" i="49"/>
  <c r="J136" i="49"/>
  <c r="P135" i="49"/>
  <c r="O135" i="49"/>
  <c r="M135" i="49"/>
  <c r="J135" i="49"/>
  <c r="P134" i="49"/>
  <c r="O134" i="49"/>
  <c r="M134" i="49"/>
  <c r="J134" i="49"/>
  <c r="P133" i="49"/>
  <c r="O133" i="49"/>
  <c r="M133" i="49"/>
  <c r="J133" i="49"/>
  <c r="P132" i="49"/>
  <c r="O132" i="49"/>
  <c r="M132" i="49"/>
  <c r="J132" i="49"/>
  <c r="P131" i="49"/>
  <c r="O131" i="49"/>
  <c r="M131" i="49"/>
  <c r="J131" i="49"/>
  <c r="O130" i="49"/>
  <c r="M130" i="49"/>
  <c r="O129" i="49"/>
  <c r="M129" i="49"/>
  <c r="O128" i="49"/>
  <c r="M128" i="49"/>
  <c r="O127" i="49"/>
  <c r="M127" i="49"/>
  <c r="O126" i="49"/>
  <c r="M126" i="49"/>
  <c r="O125" i="49"/>
  <c r="M125" i="49"/>
  <c r="O124" i="49"/>
  <c r="M124" i="49"/>
  <c r="O123" i="49"/>
  <c r="M123" i="49"/>
  <c r="O122" i="49"/>
  <c r="M122" i="49"/>
  <c r="O121" i="49"/>
  <c r="M121" i="49"/>
  <c r="O120" i="49"/>
  <c r="M120" i="49"/>
  <c r="O119" i="49"/>
  <c r="M119" i="49"/>
  <c r="O118" i="49"/>
  <c r="M118" i="49"/>
  <c r="O117" i="49"/>
  <c r="M117" i="49"/>
  <c r="O116" i="49"/>
  <c r="M116" i="49"/>
  <c r="O115" i="49"/>
  <c r="M115" i="49"/>
  <c r="O114" i="49"/>
  <c r="M114" i="49"/>
  <c r="O113" i="49"/>
  <c r="M113" i="49"/>
  <c r="O112" i="49"/>
  <c r="M112" i="49"/>
  <c r="O111" i="49"/>
  <c r="M111" i="49"/>
  <c r="O110" i="49"/>
  <c r="M110" i="49"/>
  <c r="O109" i="49"/>
  <c r="M109" i="49"/>
  <c r="O108" i="49"/>
  <c r="M108" i="49"/>
  <c r="O107" i="49"/>
  <c r="M107" i="49"/>
  <c r="O106" i="49"/>
  <c r="M106" i="49"/>
  <c r="O105" i="49"/>
  <c r="M105" i="49"/>
  <c r="O104" i="49"/>
  <c r="M104" i="49"/>
  <c r="O103" i="49"/>
  <c r="M103" i="49"/>
  <c r="O102" i="49"/>
  <c r="M102" i="49"/>
  <c r="O101" i="49"/>
  <c r="M101" i="49"/>
  <c r="O100" i="49"/>
  <c r="M100" i="49"/>
  <c r="D96" i="49"/>
  <c r="D94" i="49"/>
  <c r="L93" i="49"/>
  <c r="D93" i="49"/>
  <c r="D89" i="49"/>
  <c r="N72" i="49"/>
  <c r="L72" i="49"/>
  <c r="N71" i="49"/>
  <c r="L71" i="49"/>
  <c r="N70" i="49"/>
  <c r="L70" i="49"/>
  <c r="N69" i="49"/>
  <c r="L69" i="49"/>
  <c r="N68" i="49"/>
  <c r="L68" i="49"/>
  <c r="N67" i="49"/>
  <c r="L67" i="49"/>
  <c r="N66" i="49"/>
  <c r="L66" i="49"/>
  <c r="N65" i="49"/>
  <c r="L65" i="49"/>
  <c r="N64" i="49"/>
  <c r="L64" i="49"/>
  <c r="N63" i="49"/>
  <c r="L63" i="49"/>
  <c r="N62" i="49"/>
  <c r="L62" i="49"/>
  <c r="N61" i="49"/>
  <c r="L61" i="49"/>
  <c r="N60" i="49"/>
  <c r="L60" i="49"/>
  <c r="N59" i="49"/>
  <c r="L59" i="49"/>
  <c r="N58" i="49"/>
  <c r="L58" i="49"/>
  <c r="N57" i="49"/>
  <c r="L57" i="49"/>
  <c r="N56" i="49"/>
  <c r="L56" i="49"/>
  <c r="N55" i="49"/>
  <c r="L55" i="49"/>
  <c r="N54" i="49"/>
  <c r="L54" i="49"/>
  <c r="N53" i="49"/>
  <c r="L53" i="49"/>
  <c r="N52" i="49"/>
  <c r="L52" i="49"/>
  <c r="N51" i="49"/>
  <c r="L51" i="49"/>
  <c r="N50" i="49"/>
  <c r="L50" i="49"/>
  <c r="N49" i="49"/>
  <c r="L49" i="49"/>
  <c r="N48" i="49"/>
  <c r="L48" i="49"/>
  <c r="N47" i="49"/>
  <c r="L47" i="49"/>
  <c r="N46" i="49"/>
  <c r="L46" i="49"/>
  <c r="N45" i="49"/>
  <c r="L45" i="49"/>
  <c r="N44" i="49"/>
  <c r="L44" i="49"/>
  <c r="N43" i="49"/>
  <c r="L43" i="49"/>
  <c r="N42" i="49"/>
  <c r="L42" i="49"/>
  <c r="N41" i="49"/>
  <c r="L41" i="49"/>
  <c r="N40" i="49"/>
  <c r="L40" i="49"/>
  <c r="N39" i="49"/>
  <c r="L39" i="49"/>
  <c r="N38" i="49"/>
  <c r="L38" i="49"/>
  <c r="N37" i="49"/>
  <c r="L37" i="49"/>
  <c r="N36" i="49"/>
  <c r="L36" i="49"/>
  <c r="N35" i="49"/>
  <c r="L35" i="49"/>
  <c r="N34" i="49"/>
  <c r="L34" i="49"/>
  <c r="N33" i="49"/>
  <c r="L33" i="49"/>
  <c r="N32" i="49"/>
  <c r="L32" i="49"/>
  <c r="N31" i="49"/>
  <c r="L31" i="49"/>
  <c r="N30" i="49"/>
  <c r="L30" i="49"/>
  <c r="N29" i="49"/>
  <c r="L29" i="49"/>
  <c r="N28" i="49"/>
  <c r="L28" i="49"/>
  <c r="N27" i="49"/>
  <c r="L27" i="49"/>
  <c r="N26" i="49"/>
  <c r="L26" i="49"/>
  <c r="N25" i="49"/>
  <c r="L25" i="49"/>
  <c r="N24" i="49"/>
  <c r="L24" i="49"/>
  <c r="N23" i="49"/>
  <c r="L23" i="49"/>
  <c r="N22" i="49"/>
  <c r="L22" i="49"/>
  <c r="N21" i="49"/>
  <c r="L21" i="49"/>
  <c r="N20" i="49"/>
  <c r="L20" i="49"/>
  <c r="N19" i="49"/>
  <c r="L19" i="49"/>
  <c r="N18" i="49"/>
  <c r="L18" i="49"/>
  <c r="C17" i="49"/>
  <c r="K11" i="49"/>
  <c r="P83" i="49"/>
  <c r="P154" i="48"/>
  <c r="O154" i="48"/>
  <c r="M154" i="48"/>
  <c r="J154" i="48"/>
  <c r="P153" i="48"/>
  <c r="O153" i="48"/>
  <c r="M153" i="48"/>
  <c r="J153" i="48"/>
  <c r="P152" i="48"/>
  <c r="O152" i="48"/>
  <c r="M152" i="48"/>
  <c r="J152" i="48"/>
  <c r="P151" i="48"/>
  <c r="O151" i="48"/>
  <c r="M151" i="48"/>
  <c r="J151" i="48"/>
  <c r="P150" i="48"/>
  <c r="O150" i="48"/>
  <c r="M150" i="48"/>
  <c r="J150" i="48"/>
  <c r="P149" i="48"/>
  <c r="O149" i="48"/>
  <c r="M149" i="48"/>
  <c r="J149" i="48"/>
  <c r="P148" i="48"/>
  <c r="O148" i="48"/>
  <c r="M148" i="48"/>
  <c r="J148" i="48"/>
  <c r="P147" i="48"/>
  <c r="O147" i="48"/>
  <c r="M147" i="48"/>
  <c r="J147" i="48"/>
  <c r="P146" i="48"/>
  <c r="O146" i="48"/>
  <c r="M146" i="48"/>
  <c r="J146" i="48"/>
  <c r="P145" i="48"/>
  <c r="O145" i="48"/>
  <c r="M145" i="48"/>
  <c r="J145" i="48"/>
  <c r="P144" i="48"/>
  <c r="O144" i="48"/>
  <c r="M144" i="48"/>
  <c r="J144" i="48"/>
  <c r="P143" i="48"/>
  <c r="O143" i="48"/>
  <c r="M143" i="48"/>
  <c r="J143" i="48"/>
  <c r="P142" i="48"/>
  <c r="O142" i="48"/>
  <c r="M142" i="48"/>
  <c r="J142" i="48"/>
  <c r="P141" i="48"/>
  <c r="O141" i="48"/>
  <c r="M141" i="48"/>
  <c r="J141" i="48"/>
  <c r="P140" i="48"/>
  <c r="O140" i="48"/>
  <c r="M140" i="48"/>
  <c r="J140" i="48"/>
  <c r="P139" i="48"/>
  <c r="O139" i="48"/>
  <c r="M139" i="48"/>
  <c r="J139" i="48"/>
  <c r="P138" i="48"/>
  <c r="O138" i="48"/>
  <c r="M138" i="48"/>
  <c r="J138" i="48"/>
  <c r="P137" i="48"/>
  <c r="O137" i="48"/>
  <c r="M137" i="48"/>
  <c r="J137" i="48"/>
  <c r="P136" i="48"/>
  <c r="O136" i="48"/>
  <c r="M136" i="48"/>
  <c r="J136" i="48"/>
  <c r="P135" i="48"/>
  <c r="O135" i="48"/>
  <c r="M135" i="48"/>
  <c r="J135" i="48"/>
  <c r="P134" i="48"/>
  <c r="O134" i="48"/>
  <c r="M134" i="48"/>
  <c r="J134" i="48"/>
  <c r="P133" i="48"/>
  <c r="O133" i="48"/>
  <c r="M133" i="48"/>
  <c r="J133" i="48"/>
  <c r="P132" i="48"/>
  <c r="O132" i="48"/>
  <c r="M132" i="48"/>
  <c r="J132" i="48"/>
  <c r="P131" i="48"/>
  <c r="O131" i="48"/>
  <c r="M131" i="48"/>
  <c r="J131" i="48"/>
  <c r="O130" i="48"/>
  <c r="M130" i="48"/>
  <c r="O129" i="48"/>
  <c r="M129" i="48"/>
  <c r="O128" i="48"/>
  <c r="M128" i="48"/>
  <c r="O127" i="48"/>
  <c r="M127" i="48"/>
  <c r="O126" i="48"/>
  <c r="M126" i="48"/>
  <c r="O125" i="48"/>
  <c r="M125" i="48"/>
  <c r="O124" i="48"/>
  <c r="M124" i="48"/>
  <c r="O123" i="48"/>
  <c r="M123" i="48"/>
  <c r="O122" i="48"/>
  <c r="M122" i="48"/>
  <c r="O121" i="48"/>
  <c r="M121" i="48"/>
  <c r="O120" i="48"/>
  <c r="M120" i="48"/>
  <c r="O119" i="48"/>
  <c r="M119" i="48"/>
  <c r="O118" i="48"/>
  <c r="M118" i="48"/>
  <c r="O117" i="48"/>
  <c r="M117" i="48"/>
  <c r="O116" i="48"/>
  <c r="M116" i="48"/>
  <c r="O115" i="48"/>
  <c r="M115" i="48"/>
  <c r="O114" i="48"/>
  <c r="M114" i="48"/>
  <c r="O113" i="48"/>
  <c r="M113" i="48"/>
  <c r="O112" i="48"/>
  <c r="M112" i="48"/>
  <c r="O111" i="48"/>
  <c r="M111" i="48"/>
  <c r="O110" i="48"/>
  <c r="M110" i="48"/>
  <c r="O109" i="48"/>
  <c r="M109" i="48"/>
  <c r="O108" i="48"/>
  <c r="M108" i="48"/>
  <c r="O107" i="48"/>
  <c r="M107" i="48"/>
  <c r="O106" i="48"/>
  <c r="M106" i="48"/>
  <c r="O105" i="48"/>
  <c r="M105" i="48"/>
  <c r="O104" i="48"/>
  <c r="M104" i="48"/>
  <c r="O103" i="48"/>
  <c r="M103" i="48"/>
  <c r="O102" i="48"/>
  <c r="M102" i="48"/>
  <c r="O101" i="48"/>
  <c r="M101" i="48"/>
  <c r="O100" i="48"/>
  <c r="M100" i="48"/>
  <c r="D96" i="48"/>
  <c r="D94" i="48"/>
  <c r="L93" i="48"/>
  <c r="D93" i="48"/>
  <c r="D91" i="48"/>
  <c r="D89" i="48"/>
  <c r="N72" i="48"/>
  <c r="L72" i="48"/>
  <c r="N71" i="48"/>
  <c r="L71" i="48"/>
  <c r="N70" i="48"/>
  <c r="L70" i="48"/>
  <c r="N69" i="48"/>
  <c r="L69" i="48"/>
  <c r="N68" i="48"/>
  <c r="L68" i="48"/>
  <c r="N67" i="48"/>
  <c r="L67" i="48"/>
  <c r="N66" i="48"/>
  <c r="L66" i="48"/>
  <c r="N65" i="48"/>
  <c r="L65" i="48"/>
  <c r="N64" i="48"/>
  <c r="L64" i="48"/>
  <c r="N63" i="48"/>
  <c r="L63" i="48"/>
  <c r="N62" i="48"/>
  <c r="L62" i="48"/>
  <c r="N61" i="48"/>
  <c r="L61" i="48"/>
  <c r="N60" i="48"/>
  <c r="L60" i="48"/>
  <c r="N59" i="48"/>
  <c r="L59" i="48"/>
  <c r="N58" i="48"/>
  <c r="L58" i="48"/>
  <c r="N57" i="48"/>
  <c r="L57" i="48"/>
  <c r="N56" i="48"/>
  <c r="L56" i="48"/>
  <c r="N55" i="48"/>
  <c r="L55" i="48"/>
  <c r="N54" i="48"/>
  <c r="L54" i="48"/>
  <c r="N53" i="48"/>
  <c r="L53" i="48"/>
  <c r="N52" i="48"/>
  <c r="L52" i="48"/>
  <c r="N51" i="48"/>
  <c r="L51" i="48"/>
  <c r="N50" i="48"/>
  <c r="L50" i="48"/>
  <c r="N49" i="48"/>
  <c r="L49" i="48"/>
  <c r="N48" i="48"/>
  <c r="L48" i="48"/>
  <c r="N47" i="48"/>
  <c r="L47" i="48"/>
  <c r="N46" i="48"/>
  <c r="L46" i="48"/>
  <c r="N45" i="48"/>
  <c r="L45" i="48"/>
  <c r="N44" i="48"/>
  <c r="L44" i="48"/>
  <c r="N43" i="48"/>
  <c r="L43" i="48"/>
  <c r="N42" i="48"/>
  <c r="L42" i="48"/>
  <c r="N41" i="48"/>
  <c r="L41" i="48"/>
  <c r="N40" i="48"/>
  <c r="L40" i="48"/>
  <c r="N39" i="48"/>
  <c r="L39" i="48"/>
  <c r="N38" i="48"/>
  <c r="L38" i="48"/>
  <c r="N37" i="48"/>
  <c r="L37" i="48"/>
  <c r="N36" i="48"/>
  <c r="L36" i="48"/>
  <c r="N35" i="48"/>
  <c r="L35" i="48"/>
  <c r="N34" i="48"/>
  <c r="L34" i="48"/>
  <c r="N33" i="48"/>
  <c r="L33" i="48"/>
  <c r="N32" i="48"/>
  <c r="L32" i="48"/>
  <c r="N31" i="48"/>
  <c r="L31" i="48"/>
  <c r="N30" i="48"/>
  <c r="L30" i="48"/>
  <c r="N29" i="48"/>
  <c r="L29" i="48"/>
  <c r="N28" i="48"/>
  <c r="L28" i="48"/>
  <c r="N27" i="48"/>
  <c r="L27" i="48"/>
  <c r="N26" i="48"/>
  <c r="L26" i="48"/>
  <c r="N25" i="48"/>
  <c r="L25" i="48"/>
  <c r="N24" i="48"/>
  <c r="L24" i="48"/>
  <c r="N23" i="48"/>
  <c r="L23" i="48"/>
  <c r="N22" i="48"/>
  <c r="L22" i="48"/>
  <c r="N21" i="48"/>
  <c r="L21" i="48"/>
  <c r="N20" i="48"/>
  <c r="L20" i="48"/>
  <c r="N19" i="48"/>
  <c r="L19" i="48"/>
  <c r="N18" i="48"/>
  <c r="L18" i="48"/>
  <c r="C17" i="48"/>
  <c r="K11" i="48"/>
  <c r="P83" i="48"/>
  <c r="N100" i="46"/>
  <c r="L100" i="46"/>
  <c r="M100" i="46" s="1"/>
  <c r="M19" i="46"/>
  <c r="K19" i="46"/>
  <c r="L19" i="46" s="1"/>
  <c r="N101" i="45"/>
  <c r="L101" i="45"/>
  <c r="M101" i="45" s="1"/>
  <c r="M20" i="45"/>
  <c r="K20" i="45"/>
  <c r="L20" i="45" s="1"/>
  <c r="N101" i="44"/>
  <c r="L101" i="44"/>
  <c r="M101" i="44" s="1"/>
  <c r="M20" i="44"/>
  <c r="K20" i="44"/>
  <c r="L20" i="44" s="1"/>
  <c r="N102" i="43"/>
  <c r="L102" i="43"/>
  <c r="M102" i="43" s="1"/>
  <c r="M21" i="43"/>
  <c r="K21" i="43"/>
  <c r="L21" i="43" s="1"/>
  <c r="N102" i="42"/>
  <c r="L102" i="42"/>
  <c r="M102" i="42" s="1"/>
  <c r="M21" i="42"/>
  <c r="K21" i="42"/>
  <c r="L21" i="42" s="1"/>
  <c r="N102" i="41"/>
  <c r="L102" i="41"/>
  <c r="M102" i="41" s="1"/>
  <c r="M21" i="41"/>
  <c r="K21" i="41"/>
  <c r="L21" i="41" s="1"/>
  <c r="N102" i="40"/>
  <c r="L102" i="40"/>
  <c r="M102" i="40" s="1"/>
  <c r="M21" i="40"/>
  <c r="K21" i="40"/>
  <c r="L21" i="40" s="1"/>
  <c r="N103" i="39"/>
  <c r="L103" i="39"/>
  <c r="M103" i="39" s="1"/>
  <c r="M22" i="39"/>
  <c r="K22" i="39"/>
  <c r="L22" i="39" s="1"/>
  <c r="N102" i="38"/>
  <c r="L102" i="38"/>
  <c r="M102" i="38" s="1"/>
  <c r="M22" i="38"/>
  <c r="K22" i="38"/>
  <c r="L22" i="38" s="1"/>
  <c r="N103" i="37"/>
  <c r="L103" i="37"/>
  <c r="M103" i="37" s="1"/>
  <c r="M22" i="37"/>
  <c r="K22" i="37"/>
  <c r="L22" i="37" s="1"/>
  <c r="N106" i="31"/>
  <c r="L106" i="31"/>
  <c r="M106" i="31" s="1"/>
  <c r="M25" i="31"/>
  <c r="K25" i="31"/>
  <c r="L25" i="31" s="1"/>
  <c r="N105" i="30"/>
  <c r="L105" i="30"/>
  <c r="M105" i="30" s="1"/>
  <c r="M24" i="30"/>
  <c r="K24" i="30"/>
  <c r="L24" i="30" s="1"/>
  <c r="N106" i="29"/>
  <c r="L106" i="29"/>
  <c r="M106" i="29" s="1"/>
  <c r="M25" i="29"/>
  <c r="K25" i="29"/>
  <c r="L25" i="29" s="1"/>
  <c r="N106" i="28"/>
  <c r="L106" i="28"/>
  <c r="M106" i="28" s="1"/>
  <c r="M25" i="28"/>
  <c r="K25" i="28"/>
  <c r="L25" i="28" s="1"/>
  <c r="N107" i="27"/>
  <c r="L107" i="27"/>
  <c r="M107" i="27" s="1"/>
  <c r="M26" i="27"/>
  <c r="K26" i="27"/>
  <c r="L26" i="27" s="1"/>
  <c r="M29" i="25"/>
  <c r="K29" i="25"/>
  <c r="L29" i="25" s="1"/>
  <c r="N108" i="24"/>
  <c r="L108" i="24"/>
  <c r="M108" i="24" s="1"/>
  <c r="M27" i="24"/>
  <c r="K27" i="24"/>
  <c r="L27" i="24" s="1"/>
  <c r="N109" i="23"/>
  <c r="L109" i="23"/>
  <c r="M109" i="23" s="1"/>
  <c r="M28" i="23"/>
  <c r="K28" i="23"/>
  <c r="L28" i="23" s="1"/>
  <c r="N110" i="22"/>
  <c r="L110" i="22"/>
  <c r="M110" i="22" s="1"/>
  <c r="M29" i="22"/>
  <c r="K29" i="22"/>
  <c r="L29" i="22" s="1"/>
  <c r="N113" i="11"/>
  <c r="L113" i="11"/>
  <c r="M113" i="11" s="1"/>
  <c r="M32" i="11"/>
  <c r="K32" i="11"/>
  <c r="L32" i="11" s="1"/>
  <c r="N114" i="10"/>
  <c r="L114" i="10"/>
  <c r="M114" i="10" s="1"/>
  <c r="M33" i="10"/>
  <c r="K33" i="10"/>
  <c r="L33" i="10" s="1"/>
  <c r="N113" i="9"/>
  <c r="L113" i="9"/>
  <c r="M113" i="9" s="1"/>
  <c r="M32" i="9"/>
  <c r="K32" i="9"/>
  <c r="L32" i="9" s="1"/>
  <c r="N112" i="8"/>
  <c r="L112" i="8"/>
  <c r="M112" i="8" s="1"/>
  <c r="M31" i="8"/>
  <c r="K31" i="8"/>
  <c r="L31" i="8" s="1"/>
  <c r="N114" i="7"/>
  <c r="L114" i="7"/>
  <c r="M114" i="7" s="1"/>
  <c r="M33" i="7"/>
  <c r="K33" i="7"/>
  <c r="L33" i="7" s="1"/>
  <c r="N112" i="6"/>
  <c r="L112" i="6"/>
  <c r="M112" i="6" s="1"/>
  <c r="M31" i="6"/>
  <c r="K31" i="6"/>
  <c r="L31" i="6" s="1"/>
  <c r="N111" i="5"/>
  <c r="L111" i="5"/>
  <c r="M111" i="5" s="1"/>
  <c r="M30" i="5"/>
  <c r="K30" i="5"/>
  <c r="L30" i="5" s="1"/>
  <c r="N111" i="4"/>
  <c r="L111" i="4"/>
  <c r="M111" i="4" s="1"/>
  <c r="N111" i="3"/>
  <c r="L111" i="3"/>
  <c r="M111" i="3" s="1"/>
  <c r="M30" i="4"/>
  <c r="K30" i="4"/>
  <c r="L30" i="4" s="1"/>
  <c r="M30" i="3"/>
  <c r="K30" i="3"/>
  <c r="L30" i="3" s="1"/>
  <c r="O72" i="48" l="1"/>
  <c r="P103" i="48"/>
  <c r="O58" i="49"/>
  <c r="P117" i="49"/>
  <c r="P125" i="49"/>
  <c r="O23" i="47"/>
  <c r="P100" i="49"/>
  <c r="P116" i="49"/>
  <c r="O63" i="47"/>
  <c r="O65" i="47"/>
  <c r="O71" i="47"/>
  <c r="P120" i="49"/>
  <c r="P124" i="49"/>
  <c r="O57" i="47"/>
  <c r="O63" i="49"/>
  <c r="O66" i="49"/>
  <c r="O72" i="49"/>
  <c r="O26" i="47"/>
  <c r="O62" i="47"/>
  <c r="P102" i="47"/>
  <c r="P104" i="47"/>
  <c r="O70" i="49"/>
  <c r="P101" i="47"/>
  <c r="P105" i="47"/>
  <c r="P113" i="47"/>
  <c r="P115" i="47"/>
  <c r="P117" i="47"/>
  <c r="O59" i="49"/>
  <c r="P126" i="49"/>
  <c r="O28" i="47"/>
  <c r="O34" i="47"/>
  <c r="O38" i="47"/>
  <c r="O40" i="47"/>
  <c r="O42" i="47"/>
  <c r="O46" i="47"/>
  <c r="O50" i="47"/>
  <c r="O70" i="47"/>
  <c r="P107" i="48"/>
  <c r="O24" i="49"/>
  <c r="O40" i="49"/>
  <c r="O48" i="49"/>
  <c r="P105" i="49"/>
  <c r="O27" i="47"/>
  <c r="O31" i="47"/>
  <c r="O33" i="47"/>
  <c r="O39" i="47"/>
  <c r="O43" i="47"/>
  <c r="O51" i="47"/>
  <c r="O55" i="47"/>
  <c r="P108" i="47"/>
  <c r="O24" i="48"/>
  <c r="O40" i="48"/>
  <c r="O54" i="48"/>
  <c r="P105" i="48"/>
  <c r="O19" i="49"/>
  <c r="O23" i="49"/>
  <c r="O35" i="49"/>
  <c r="O39" i="49"/>
  <c r="P109" i="49"/>
  <c r="P113" i="49"/>
  <c r="P128" i="49"/>
  <c r="O21" i="47"/>
  <c r="P106" i="47"/>
  <c r="P115" i="48"/>
  <c r="P121" i="49"/>
  <c r="O29" i="47"/>
  <c r="O37" i="47"/>
  <c r="O41" i="47"/>
  <c r="O49" i="47"/>
  <c r="O58" i="47"/>
  <c r="P103" i="47"/>
  <c r="P110" i="47"/>
  <c r="P112" i="47"/>
  <c r="P114" i="47"/>
  <c r="P116" i="47"/>
  <c r="O54" i="47"/>
  <c r="O69" i="47"/>
  <c r="P111" i="48"/>
  <c r="O67" i="48"/>
  <c r="O71" i="48"/>
  <c r="P102" i="48"/>
  <c r="O28" i="49"/>
  <c r="O50" i="49"/>
  <c r="O54" i="49"/>
  <c r="O60" i="49"/>
  <c r="O65" i="49"/>
  <c r="O71" i="49"/>
  <c r="P104" i="49"/>
  <c r="P110" i="49"/>
  <c r="P112" i="49"/>
  <c r="P118" i="49"/>
  <c r="P129" i="49"/>
  <c r="O18" i="47"/>
  <c r="O22" i="47"/>
  <c r="O24" i="47"/>
  <c r="O59" i="47"/>
  <c r="O64" i="47"/>
  <c r="O66" i="47"/>
  <c r="O72" i="47"/>
  <c r="P100" i="47"/>
  <c r="P118" i="47"/>
  <c r="P122" i="47"/>
  <c r="P126" i="47"/>
  <c r="O44" i="48"/>
  <c r="O26" i="49"/>
  <c r="O51" i="49"/>
  <c r="O49" i="49"/>
  <c r="P107" i="49"/>
  <c r="O25" i="47"/>
  <c r="O30" i="47"/>
  <c r="O56" i="47"/>
  <c r="O61" i="47"/>
  <c r="P107" i="47"/>
  <c r="P121" i="47"/>
  <c r="P123" i="47"/>
  <c r="P125" i="47"/>
  <c r="P127" i="47"/>
  <c r="P129" i="47"/>
  <c r="O19" i="48"/>
  <c r="O33" i="48"/>
  <c r="O35" i="48"/>
  <c r="O62" i="48"/>
  <c r="O70" i="48"/>
  <c r="P114" i="48"/>
  <c r="P116" i="48"/>
  <c r="P118" i="48"/>
  <c r="O25" i="49"/>
  <c r="O32" i="49"/>
  <c r="O42" i="49"/>
  <c r="P114" i="49"/>
  <c r="P122" i="49"/>
  <c r="P130" i="49"/>
  <c r="O48" i="47"/>
  <c r="O53" i="47"/>
  <c r="P109" i="47"/>
  <c r="O18" i="48"/>
  <c r="O22" i="48"/>
  <c r="O30" i="48"/>
  <c r="O34" i="48"/>
  <c r="O38" i="48"/>
  <c r="O29" i="49"/>
  <c r="O41" i="49"/>
  <c r="O19" i="47"/>
  <c r="O35" i="47"/>
  <c r="O45" i="47"/>
  <c r="O47" i="47"/>
  <c r="O67" i="47"/>
  <c r="P111" i="47"/>
  <c r="P130" i="47"/>
  <c r="O56" i="48"/>
  <c r="O60" i="48"/>
  <c r="O18" i="49"/>
  <c r="O20" i="49"/>
  <c r="O43" i="49"/>
  <c r="O47" i="49"/>
  <c r="P106" i="49"/>
  <c r="P119" i="49"/>
  <c r="P127" i="49"/>
  <c r="D18" i="49"/>
  <c r="B18" i="49" s="1"/>
  <c r="C18" i="49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C45" i="49" s="1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O20" i="47"/>
  <c r="P100" i="48"/>
  <c r="O27" i="49"/>
  <c r="O34" i="49"/>
  <c r="O36" i="49"/>
  <c r="O55" i="49"/>
  <c r="P115" i="49"/>
  <c r="P123" i="49"/>
  <c r="O47" i="48"/>
  <c r="O49" i="48"/>
  <c r="O66" i="48"/>
  <c r="P106" i="48"/>
  <c r="P113" i="48"/>
  <c r="O31" i="49"/>
  <c r="O33" i="49"/>
  <c r="O44" i="49"/>
  <c r="O46" i="49"/>
  <c r="O52" i="49"/>
  <c r="O57" i="49"/>
  <c r="O62" i="49"/>
  <c r="O64" i="49"/>
  <c r="O67" i="49"/>
  <c r="O69" i="49"/>
  <c r="P101" i="49"/>
  <c r="P103" i="49"/>
  <c r="P108" i="49"/>
  <c r="P111" i="49"/>
  <c r="O32" i="47"/>
  <c r="O36" i="47"/>
  <c r="O44" i="47"/>
  <c r="O52" i="47"/>
  <c r="O60" i="47"/>
  <c r="O68" i="47"/>
  <c r="P119" i="47"/>
  <c r="O28" i="48"/>
  <c r="O48" i="48"/>
  <c r="O52" i="48"/>
  <c r="O55" i="48"/>
  <c r="O59" i="48"/>
  <c r="P108" i="48"/>
  <c r="P110" i="48"/>
  <c r="O21" i="49"/>
  <c r="O37" i="49"/>
  <c r="O56" i="49"/>
  <c r="O68" i="49"/>
  <c r="P102" i="49"/>
  <c r="C99" i="47"/>
  <c r="P120" i="47"/>
  <c r="P124" i="47"/>
  <c r="P128" i="47"/>
  <c r="O20" i="48"/>
  <c r="O39" i="48"/>
  <c r="O61" i="48"/>
  <c r="P124" i="48"/>
  <c r="P128" i="48"/>
  <c r="O58" i="48"/>
  <c r="O63" i="48"/>
  <c r="P101" i="48"/>
  <c r="P104" i="48"/>
  <c r="P109" i="48"/>
  <c r="P112" i="48"/>
  <c r="P117" i="48"/>
  <c r="O22" i="49"/>
  <c r="O30" i="49"/>
  <c r="O38" i="49"/>
  <c r="O37" i="48"/>
  <c r="O46" i="48"/>
  <c r="O50" i="48"/>
  <c r="P122" i="48"/>
  <c r="P126" i="48"/>
  <c r="P130" i="48"/>
  <c r="O21" i="48"/>
  <c r="O23" i="48"/>
  <c r="O32" i="48"/>
  <c r="O36" i="48"/>
  <c r="O51" i="48"/>
  <c r="O53" i="48"/>
  <c r="O64" i="48"/>
  <c r="O69" i="48"/>
  <c r="O25" i="48"/>
  <c r="O27" i="48"/>
  <c r="O41" i="48"/>
  <c r="O43" i="48"/>
  <c r="O45" i="49"/>
  <c r="O53" i="49"/>
  <c r="O61" i="49"/>
  <c r="C99" i="49"/>
  <c r="O26" i="48"/>
  <c r="O29" i="48"/>
  <c r="O31" i="48"/>
  <c r="O42" i="48"/>
  <c r="O45" i="48"/>
  <c r="O57" i="48"/>
  <c r="O65" i="48"/>
  <c r="P121" i="48"/>
  <c r="P123" i="48"/>
  <c r="P125" i="48"/>
  <c r="P127" i="48"/>
  <c r="P129" i="48"/>
  <c r="C18" i="48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C45" i="48" s="1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O68" i="48"/>
  <c r="C99" i="48"/>
  <c r="C100" i="48" s="1"/>
  <c r="C101" i="48" s="1"/>
  <c r="C102" i="48" s="1"/>
  <c r="C103" i="48" s="1"/>
  <c r="C104" i="48" s="1"/>
  <c r="C105" i="48" s="1"/>
  <c r="C106" i="48" s="1"/>
  <c r="C107" i="48" s="1"/>
  <c r="C108" i="48" s="1"/>
  <c r="C109" i="48" s="1"/>
  <c r="C110" i="48" s="1"/>
  <c r="C111" i="48" s="1"/>
  <c r="C112" i="48" s="1"/>
  <c r="C113" i="48" s="1"/>
  <c r="C114" i="48" s="1"/>
  <c r="C115" i="48" s="1"/>
  <c r="C116" i="48" s="1"/>
  <c r="C117" i="48" s="1"/>
  <c r="C118" i="48" s="1"/>
  <c r="C119" i="48" s="1"/>
  <c r="C120" i="48" s="1"/>
  <c r="C121" i="48" s="1"/>
  <c r="C122" i="48" s="1"/>
  <c r="C123" i="48" s="1"/>
  <c r="C124" i="48" s="1"/>
  <c r="C125" i="48" s="1"/>
  <c r="C126" i="48" s="1"/>
  <c r="C127" i="48" s="1"/>
  <c r="C128" i="48" s="1"/>
  <c r="C129" i="48" s="1"/>
  <c r="C130" i="48" s="1"/>
  <c r="C131" i="48" s="1"/>
  <c r="C132" i="48" s="1"/>
  <c r="C133" i="48" s="1"/>
  <c r="C134" i="48" s="1"/>
  <c r="C135" i="48" s="1"/>
  <c r="C136" i="48" s="1"/>
  <c r="C137" i="48" s="1"/>
  <c r="C138" i="48" s="1"/>
  <c r="C139" i="48" s="1"/>
  <c r="C140" i="48" s="1"/>
  <c r="C141" i="48" s="1"/>
  <c r="C142" i="48" s="1"/>
  <c r="C143" i="48" s="1"/>
  <c r="C144" i="48" s="1"/>
  <c r="C145" i="48" s="1"/>
  <c r="C146" i="48" s="1"/>
  <c r="C147" i="48" s="1"/>
  <c r="C148" i="48" s="1"/>
  <c r="C149" i="48" s="1"/>
  <c r="C150" i="48" s="1"/>
  <c r="C151" i="48" s="1"/>
  <c r="C152" i="48" s="1"/>
  <c r="C153" i="48" s="1"/>
  <c r="C154" i="48" s="1"/>
  <c r="P119" i="48"/>
  <c r="P120" i="48"/>
  <c r="C100" i="47" l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C127" i="47" s="1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C100" i="49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W46" i="17"/>
  <c r="M16" i="2" l="1"/>
  <c r="J92" i="49" s="1"/>
  <c r="N99" i="46"/>
  <c r="L99" i="46"/>
  <c r="M99" i="46" s="1"/>
  <c r="M18" i="46"/>
  <c r="K18" i="46"/>
  <c r="L18" i="46" s="1"/>
  <c r="N100" i="45"/>
  <c r="L100" i="45"/>
  <c r="M100" i="45" s="1"/>
  <c r="M19" i="45"/>
  <c r="K19" i="45"/>
  <c r="L19" i="45" s="1"/>
  <c r="N100" i="44"/>
  <c r="L100" i="44"/>
  <c r="M100" i="44" s="1"/>
  <c r="M19" i="44"/>
  <c r="K19" i="44"/>
  <c r="L19" i="44" s="1"/>
  <c r="N101" i="43"/>
  <c r="L101" i="43"/>
  <c r="M101" i="43" s="1"/>
  <c r="M20" i="43"/>
  <c r="K20" i="43"/>
  <c r="L20" i="43" s="1"/>
  <c r="N101" i="42"/>
  <c r="L101" i="42"/>
  <c r="M101" i="42" s="1"/>
  <c r="M20" i="42"/>
  <c r="K20" i="42"/>
  <c r="L20" i="42" s="1"/>
  <c r="N101" i="41"/>
  <c r="L101" i="41"/>
  <c r="M101" i="41" s="1"/>
  <c r="M20" i="41"/>
  <c r="K20" i="41"/>
  <c r="L20" i="41" s="1"/>
  <c r="N101" i="40"/>
  <c r="L101" i="40"/>
  <c r="M101" i="40" s="1"/>
  <c r="M20" i="40"/>
  <c r="K20" i="40"/>
  <c r="L20" i="40" s="1"/>
  <c r="N102" i="39"/>
  <c r="L102" i="39"/>
  <c r="M102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M21" i="37"/>
  <c r="K21" i="37"/>
  <c r="L21" i="37" s="1"/>
  <c r="N105" i="31"/>
  <c r="L105" i="31"/>
  <c r="M105" i="31" s="1"/>
  <c r="M24" i="31"/>
  <c r="K24" i="31"/>
  <c r="L24" i="31" s="1"/>
  <c r="N104" i="30"/>
  <c r="L104" i="30"/>
  <c r="M104" i="30" s="1"/>
  <c r="M23" i="30"/>
  <c r="K23" i="30"/>
  <c r="L23" i="30" s="1"/>
  <c r="N105" i="29"/>
  <c r="L105" i="29"/>
  <c r="M105" i="29" s="1"/>
  <c r="M24" i="29"/>
  <c r="K24" i="29"/>
  <c r="L24" i="29" s="1"/>
  <c r="N105" i="28"/>
  <c r="L105" i="28"/>
  <c r="M105" i="28" s="1"/>
  <c r="M24" i="28"/>
  <c r="K24" i="28"/>
  <c r="L24" i="28" s="1"/>
  <c r="N106" i="27"/>
  <c r="L106" i="27"/>
  <c r="M106" i="27" s="1"/>
  <c r="M25" i="27"/>
  <c r="K25" i="27"/>
  <c r="L25" i="27" s="1"/>
  <c r="O154" i="25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N109" i="25"/>
  <c r="O109" i="25" s="1"/>
  <c r="L109" i="25"/>
  <c r="M109" i="25" s="1"/>
  <c r="M28" i="25"/>
  <c r="K28" i="25"/>
  <c r="L28" i="25" s="1"/>
  <c r="N107" i="24"/>
  <c r="L107" i="24"/>
  <c r="M107" i="24" s="1"/>
  <c r="M26" i="24"/>
  <c r="K26" i="24"/>
  <c r="L26" i="24" s="1"/>
  <c r="N108" i="23"/>
  <c r="L108" i="23"/>
  <c r="M108" i="23" s="1"/>
  <c r="M27" i="23"/>
  <c r="K27" i="23"/>
  <c r="L27" i="23" s="1"/>
  <c r="N109" i="22"/>
  <c r="L109" i="22"/>
  <c r="M109" i="22" s="1"/>
  <c r="M28" i="22"/>
  <c r="K28" i="22"/>
  <c r="L28" i="22" s="1"/>
  <c r="N112" i="11"/>
  <c r="L112" i="11"/>
  <c r="M112" i="11" s="1"/>
  <c r="M31" i="11"/>
  <c r="K31" i="11"/>
  <c r="L31" i="11" s="1"/>
  <c r="N113" i="10"/>
  <c r="L113" i="10"/>
  <c r="M113" i="10" s="1"/>
  <c r="M32" i="10"/>
  <c r="K32" i="10"/>
  <c r="L32" i="10" s="1"/>
  <c r="N112" i="9"/>
  <c r="L112" i="9"/>
  <c r="M112" i="9" s="1"/>
  <c r="M31" i="9"/>
  <c r="K31" i="9"/>
  <c r="L31" i="9" s="1"/>
  <c r="N111" i="8"/>
  <c r="L111" i="8"/>
  <c r="M111" i="8" s="1"/>
  <c r="M30" i="8"/>
  <c r="K30" i="8"/>
  <c r="L30" i="8" s="1"/>
  <c r="N113" i="7"/>
  <c r="L113" i="7"/>
  <c r="M113" i="7" s="1"/>
  <c r="M32" i="7"/>
  <c r="K32" i="7"/>
  <c r="L32" i="7" s="1"/>
  <c r="N111" i="6"/>
  <c r="L111" i="6"/>
  <c r="M111" i="6" s="1"/>
  <c r="M30" i="6"/>
  <c r="K30" i="6"/>
  <c r="L30" i="6" s="1"/>
  <c r="N110" i="5"/>
  <c r="L110" i="5"/>
  <c r="M110" i="5" s="1"/>
  <c r="M29" i="5"/>
  <c r="K29" i="5"/>
  <c r="L29" i="5" s="1"/>
  <c r="N110" i="4"/>
  <c r="L110" i="4"/>
  <c r="M110" i="4" s="1"/>
  <c r="M29" i="4"/>
  <c r="K29" i="4"/>
  <c r="L29" i="4" s="1"/>
  <c r="J92" i="47" l="1"/>
  <c r="J92" i="48"/>
  <c r="W45" i="17"/>
  <c r="N110" i="3" l="1"/>
  <c r="L110" i="3"/>
  <c r="M110" i="3" s="1"/>
  <c r="M29" i="3"/>
  <c r="K29" i="3"/>
  <c r="L29" i="3" s="1"/>
  <c r="H3" i="17" l="1"/>
  <c r="N99" i="45" l="1"/>
  <c r="L99" i="45"/>
  <c r="M99" i="45" s="1"/>
  <c r="N99" i="44"/>
  <c r="L99" i="44"/>
  <c r="M99" i="44" s="1"/>
  <c r="N100" i="43"/>
  <c r="L100" i="43"/>
  <c r="M100" i="43" s="1"/>
  <c r="N100" i="42"/>
  <c r="L100" i="42"/>
  <c r="M100" i="42" s="1"/>
  <c r="L100" i="41"/>
  <c r="M100" i="41" s="1"/>
  <c r="N100" i="40"/>
  <c r="L100" i="40"/>
  <c r="M100" i="40" s="1"/>
  <c r="N101" i="39"/>
  <c r="L101" i="39"/>
  <c r="M101" i="39" s="1"/>
  <c r="N101" i="37"/>
  <c r="L101" i="37"/>
  <c r="M101" i="37" s="1"/>
  <c r="N104" i="31"/>
  <c r="L104" i="31"/>
  <c r="M104" i="31" s="1"/>
  <c r="N103" i="30"/>
  <c r="L103" i="30"/>
  <c r="M103" i="30" s="1"/>
  <c r="N104" i="29"/>
  <c r="L104" i="29"/>
  <c r="M104" i="29" s="1"/>
  <c r="N104" i="28"/>
  <c r="L104" i="28"/>
  <c r="M104" i="28" s="1"/>
  <c r="N105" i="27"/>
  <c r="L105" i="27"/>
  <c r="M105" i="27" s="1"/>
  <c r="N108" i="25"/>
  <c r="O108" i="25" s="1"/>
  <c r="L108" i="25"/>
  <c r="M108" i="25" s="1"/>
  <c r="N106" i="24"/>
  <c r="L106" i="24"/>
  <c r="M106" i="24" s="1"/>
  <c r="N107" i="23"/>
  <c r="L107" i="23"/>
  <c r="M107" i="23" s="1"/>
  <c r="N108" i="22"/>
  <c r="L108" i="22"/>
  <c r="M108" i="22" s="1"/>
  <c r="N111" i="11"/>
  <c r="L111" i="11"/>
  <c r="M111" i="11" s="1"/>
  <c r="N112" i="10"/>
  <c r="L112" i="10"/>
  <c r="M112" i="10" s="1"/>
  <c r="N111" i="9"/>
  <c r="L111" i="9"/>
  <c r="M111" i="9" s="1"/>
  <c r="N110" i="8"/>
  <c r="L110" i="8"/>
  <c r="M110" i="8" s="1"/>
  <c r="N112" i="7"/>
  <c r="L112" i="7"/>
  <c r="M112" i="7" s="1"/>
  <c r="N110" i="6"/>
  <c r="L110" i="6"/>
  <c r="M110" i="6" s="1"/>
  <c r="N109" i="5"/>
  <c r="L109" i="5"/>
  <c r="M109" i="5" s="1"/>
  <c r="N109" i="3"/>
  <c r="L109" i="3"/>
  <c r="M109" i="3" s="1"/>
  <c r="N109" i="4"/>
  <c r="L109" i="4"/>
  <c r="M109" i="4" s="1"/>
  <c r="N100" i="41" l="1"/>
  <c r="M17" i="46" l="1"/>
  <c r="K17" i="46"/>
  <c r="L17" i="46" s="1"/>
  <c r="M18" i="45"/>
  <c r="K18" i="45"/>
  <c r="L18" i="45" s="1"/>
  <c r="M18" i="44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31"/>
  <c r="K23" i="31"/>
  <c r="L23" i="31" s="1"/>
  <c r="M22" i="30"/>
  <c r="K22" i="30"/>
  <c r="L22" i="30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28" i="5"/>
  <c r="K28" i="5"/>
  <c r="L28" i="5" s="1"/>
  <c r="M28" i="3"/>
  <c r="K28" i="3"/>
  <c r="L28" i="3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1048576" i="6"/>
  <c r="K1048576" i="6"/>
  <c r="L1048576" i="6" s="1"/>
  <c r="M28" i="4"/>
  <c r="N28" i="4" s="1"/>
  <c r="K28" i="4"/>
  <c r="L28" i="4" s="1"/>
  <c r="P45" i="17"/>
  <c r="W44" i="17" l="1"/>
  <c r="W43" i="17"/>
  <c r="N50" i="17"/>
  <c r="E50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L99" i="43"/>
  <c r="M99" i="43" s="1"/>
  <c r="N99" i="42"/>
  <c r="O99" i="42" s="1"/>
  <c r="L99" i="42"/>
  <c r="M99" i="42" s="1"/>
  <c r="N99" i="41"/>
  <c r="O99" i="41" s="1"/>
  <c r="L99" i="41"/>
  <c r="M99" i="41" s="1"/>
  <c r="N99" i="40"/>
  <c r="O99" i="40" s="1"/>
  <c r="L99" i="40"/>
  <c r="M99" i="40" s="1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N102" i="30"/>
  <c r="O102" i="30" s="1"/>
  <c r="L102" i="30"/>
  <c r="M102" i="30" s="1"/>
  <c r="N103" i="29"/>
  <c r="O103" i="29" s="1"/>
  <c r="L103" i="29"/>
  <c r="M103" i="29" s="1"/>
  <c r="N103" i="28"/>
  <c r="O103" i="28" s="1"/>
  <c r="L103" i="28"/>
  <c r="M103" i="28" s="1"/>
  <c r="N104" i="27"/>
  <c r="O104" i="27" s="1"/>
  <c r="L104" i="27"/>
  <c r="M104" i="27" s="1"/>
  <c r="N107" i="25"/>
  <c r="O107" i="25" s="1"/>
  <c r="L107" i="25"/>
  <c r="M107" i="25" s="1"/>
  <c r="N105" i="24"/>
  <c r="O105" i="24" s="1"/>
  <c r="L105" i="24"/>
  <c r="M105" i="24" s="1"/>
  <c r="N106" i="23"/>
  <c r="O106" i="23" s="1"/>
  <c r="L106" i="23"/>
  <c r="M106" i="23" s="1"/>
  <c r="N107" i="22"/>
  <c r="O107" i="22" s="1"/>
  <c r="L107" i="22"/>
  <c r="M107" i="22" s="1"/>
  <c r="N110" i="11"/>
  <c r="O110" i="11" s="1"/>
  <c r="L110" i="11"/>
  <c r="M110" i="11" s="1"/>
  <c r="N111" i="10"/>
  <c r="O111" i="10" s="1"/>
  <c r="L111" i="10"/>
  <c r="M111" i="10" s="1"/>
  <c r="N110" i="9"/>
  <c r="O110" i="9" s="1"/>
  <c r="L110" i="9"/>
  <c r="M110" i="9" s="1"/>
  <c r="N109" i="8"/>
  <c r="O109" i="8" s="1"/>
  <c r="L109" i="8"/>
  <c r="M109" i="8" s="1"/>
  <c r="N111" i="7"/>
  <c r="O111" i="7" s="1"/>
  <c r="L111" i="7"/>
  <c r="M111" i="7" s="1"/>
  <c r="N109" i="6"/>
  <c r="O109" i="6" s="1"/>
  <c r="L109" i="6"/>
  <c r="M109" i="6" s="1"/>
  <c r="N108" i="5"/>
  <c r="O108" i="5" s="1"/>
  <c r="L108" i="5"/>
  <c r="M108" i="5" s="1"/>
  <c r="N108" i="4"/>
  <c r="O108" i="4" s="1"/>
  <c r="L108" i="4"/>
  <c r="M108" i="4" s="1"/>
  <c r="N108" i="3"/>
  <c r="O108" i="3" s="1"/>
  <c r="L108" i="3"/>
  <c r="M108" i="3" s="1"/>
  <c r="O50" i="17"/>
  <c r="P44" i="17"/>
  <c r="P43" i="17"/>
  <c r="P108" i="5" l="1"/>
  <c r="P106" i="23"/>
  <c r="P110" i="9"/>
  <c r="P103" i="28"/>
  <c r="P108" i="4"/>
  <c r="P107" i="22"/>
  <c r="P104" i="27"/>
  <c r="P99" i="42"/>
  <c r="P108" i="3"/>
  <c r="P111" i="7"/>
  <c r="P110" i="11"/>
  <c r="P107" i="25"/>
  <c r="P99" i="41"/>
  <c r="P99" i="43"/>
  <c r="P109" i="8"/>
  <c r="P109" i="6"/>
  <c r="P111" i="10"/>
  <c r="P105" i="24"/>
  <c r="P103" i="29"/>
  <c r="P99" i="40"/>
  <c r="P100" i="39"/>
  <c r="P103" i="31"/>
  <c r="P100" i="37"/>
  <c r="P102" i="30"/>
  <c r="J50" i="17" l="1"/>
  <c r="K48" i="17" s="1"/>
  <c r="K47" i="17" l="1"/>
  <c r="L47" i="17" s="1"/>
  <c r="L48" i="17"/>
  <c r="K45" i="17"/>
  <c r="L45" i="17" s="1"/>
  <c r="K46" i="17"/>
  <c r="L46" i="17" s="1"/>
  <c r="M17" i="43"/>
  <c r="K17" i="43"/>
  <c r="E36" i="1"/>
  <c r="E35" i="1"/>
  <c r="C36" i="1"/>
  <c r="C35" i="1"/>
  <c r="L19" i="1"/>
  <c r="I57" i="17"/>
  <c r="A4" i="1" l="1"/>
  <c r="A2" i="1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N19" i="45"/>
  <c r="N18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O100" i="44"/>
  <c r="O99" i="44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O101" i="43"/>
  <c r="O100" i="43"/>
  <c r="C99" i="43"/>
  <c r="C100" i="43" s="1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N20" i="43"/>
  <c r="N19" i="43"/>
  <c r="N18" i="43"/>
  <c r="N17" i="43"/>
  <c r="L17" i="43"/>
  <c r="C17" i="43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K17" i="40"/>
  <c r="L17" i="40" s="1"/>
  <c r="N99" i="39"/>
  <c r="O99" i="39" s="1"/>
  <c r="L99" i="39"/>
  <c r="M99" i="39" s="1"/>
  <c r="M18" i="39"/>
  <c r="N18" i="39" s="1"/>
  <c r="K18" i="39"/>
  <c r="L18" i="39" s="1"/>
  <c r="N99" i="38"/>
  <c r="O99" i="38" s="1"/>
  <c r="L99" i="38"/>
  <c r="M99" i="38" s="1"/>
  <c r="M18" i="38"/>
  <c r="N18" i="38" s="1"/>
  <c r="K18" i="38"/>
  <c r="L18" i="38" s="1"/>
  <c r="N99" i="37"/>
  <c r="O99" i="37" s="1"/>
  <c r="L99" i="37"/>
  <c r="M99" i="37" s="1"/>
  <c r="M18" i="37"/>
  <c r="N18" i="37" s="1"/>
  <c r="K18" i="37"/>
  <c r="L18" i="37" s="1"/>
  <c r="N102" i="31"/>
  <c r="O102" i="31" s="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L102" i="29"/>
  <c r="M102" i="29" s="1"/>
  <c r="M21" i="29"/>
  <c r="N21" i="29" s="1"/>
  <c r="K21" i="29"/>
  <c r="L21" i="29" s="1"/>
  <c r="N102" i="28"/>
  <c r="O102" i="28" s="1"/>
  <c r="L102" i="28"/>
  <c r="M102" i="28" s="1"/>
  <c r="M21" i="28"/>
  <c r="N21" i="28" s="1"/>
  <c r="K21" i="28"/>
  <c r="L21" i="28" s="1"/>
  <c r="N103" i="27"/>
  <c r="O103" i="27" s="1"/>
  <c r="L103" i="27"/>
  <c r="M103" i="27" s="1"/>
  <c r="M22" i="27"/>
  <c r="N22" i="27" s="1"/>
  <c r="K22" i="27"/>
  <c r="L22" i="27" s="1"/>
  <c r="N106" i="25"/>
  <c r="O106" i="25" s="1"/>
  <c r="L106" i="25"/>
  <c r="M106" i="25" s="1"/>
  <c r="M25" i="25"/>
  <c r="N25" i="25" s="1"/>
  <c r="K25" i="25"/>
  <c r="L25" i="25" s="1"/>
  <c r="N104" i="24"/>
  <c r="O104" i="24" s="1"/>
  <c r="L104" i="24"/>
  <c r="M104" i="24" s="1"/>
  <c r="M23" i="24"/>
  <c r="N23" i="24" s="1"/>
  <c r="K23" i="24"/>
  <c r="L23" i="24" s="1"/>
  <c r="N105" i="23"/>
  <c r="O105" i="23" s="1"/>
  <c r="L105" i="23"/>
  <c r="M105" i="23" s="1"/>
  <c r="M24" i="23"/>
  <c r="N24" i="23" s="1"/>
  <c r="K24" i="23"/>
  <c r="L24" i="23" s="1"/>
  <c r="N106" i="22"/>
  <c r="O106" i="22" s="1"/>
  <c r="L106" i="22"/>
  <c r="M106" i="22" s="1"/>
  <c r="M25" i="22"/>
  <c r="N25" i="22" s="1"/>
  <c r="K25" i="22"/>
  <c r="L25" i="22" s="1"/>
  <c r="N109" i="11"/>
  <c r="O109" i="11" s="1"/>
  <c r="L109" i="11"/>
  <c r="M109" i="11" s="1"/>
  <c r="M28" i="11"/>
  <c r="N28" i="11" s="1"/>
  <c r="K28" i="11"/>
  <c r="L28" i="11" s="1"/>
  <c r="N110" i="10"/>
  <c r="O110" i="10" s="1"/>
  <c r="L110" i="10"/>
  <c r="M110" i="10" s="1"/>
  <c r="M29" i="10"/>
  <c r="N29" i="10" s="1"/>
  <c r="K29" i="10"/>
  <c r="L29" i="10" s="1"/>
  <c r="N109" i="9"/>
  <c r="O109" i="9" s="1"/>
  <c r="L109" i="9"/>
  <c r="M109" i="9" s="1"/>
  <c r="M28" i="9"/>
  <c r="N28" i="9" s="1"/>
  <c r="K28" i="9"/>
  <c r="L28" i="9" s="1"/>
  <c r="N108" i="8"/>
  <c r="O108" i="8" s="1"/>
  <c r="L108" i="8"/>
  <c r="M108" i="8" s="1"/>
  <c r="M27" i="8"/>
  <c r="N27" i="8" s="1"/>
  <c r="K27" i="8"/>
  <c r="L27" i="8" s="1"/>
  <c r="N110" i="7"/>
  <c r="O110" i="7" s="1"/>
  <c r="L110" i="7"/>
  <c r="M110" i="7" s="1"/>
  <c r="M29" i="7"/>
  <c r="N29" i="7" s="1"/>
  <c r="K29" i="7"/>
  <c r="L29" i="7" s="1"/>
  <c r="N108" i="6"/>
  <c r="O108" i="6" s="1"/>
  <c r="L108" i="6"/>
  <c r="M108" i="6" s="1"/>
  <c r="M27" i="6"/>
  <c r="N27" i="6" s="1"/>
  <c r="K27" i="6"/>
  <c r="L27" i="6" s="1"/>
  <c r="N107" i="5"/>
  <c r="O107" i="5" s="1"/>
  <c r="L107" i="5"/>
  <c r="M107" i="5" s="1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 s="1"/>
  <c r="L107" i="3"/>
  <c r="M107" i="3" s="1"/>
  <c r="M26" i="3"/>
  <c r="N26" i="3" s="1"/>
  <c r="K26" i="3"/>
  <c r="L26" i="3" s="1"/>
  <c r="D92" i="6"/>
  <c r="U2" i="17"/>
  <c r="M26" i="6"/>
  <c r="N26" i="6" s="1"/>
  <c r="K26" i="6"/>
  <c r="L26" i="6" s="1"/>
  <c r="M17" i="38"/>
  <c r="N17" i="38" s="1"/>
  <c r="K17" i="38"/>
  <c r="L17" i="38" s="1"/>
  <c r="M17" i="39"/>
  <c r="N17" i="39" s="1"/>
  <c r="K17" i="39"/>
  <c r="L17" i="39" s="1"/>
  <c r="N101" i="31"/>
  <c r="O101" i="31" s="1"/>
  <c r="L101" i="31"/>
  <c r="M101" i="31" s="1"/>
  <c r="M20" i="31"/>
  <c r="N20" i="31" s="1"/>
  <c r="K20" i="31"/>
  <c r="L20" i="31" s="1"/>
  <c r="M17" i="37"/>
  <c r="N17" i="37" s="1"/>
  <c r="K17" i="37"/>
  <c r="L17" i="37" s="1"/>
  <c r="W41" i="17"/>
  <c r="P41" i="17"/>
  <c r="W40" i="17"/>
  <c r="P40" i="17"/>
  <c r="M19" i="30"/>
  <c r="N19" i="30" s="1"/>
  <c r="K19" i="30"/>
  <c r="L19" i="30" s="1"/>
  <c r="N100" i="30"/>
  <c r="O100" i="30" s="1"/>
  <c r="L100" i="30"/>
  <c r="M100" i="30" s="1"/>
  <c r="M20" i="29"/>
  <c r="N20" i="29" s="1"/>
  <c r="K20" i="29"/>
  <c r="L20" i="29" s="1"/>
  <c r="N101" i="29"/>
  <c r="O101" i="29" s="1"/>
  <c r="L101" i="29"/>
  <c r="M101" i="29" s="1"/>
  <c r="N101" i="28"/>
  <c r="O101" i="28" s="1"/>
  <c r="L101" i="28"/>
  <c r="M101" i="28" s="1"/>
  <c r="M20" i="28"/>
  <c r="N20" i="28" s="1"/>
  <c r="K20" i="28"/>
  <c r="L20" i="28" s="1"/>
  <c r="N102" i="27"/>
  <c r="O102" i="27" s="1"/>
  <c r="L102" i="27"/>
  <c r="M102" i="27" s="1"/>
  <c r="M21" i="27"/>
  <c r="N21" i="27" s="1"/>
  <c r="K21" i="27"/>
  <c r="L21" i="27" s="1"/>
  <c r="N105" i="25"/>
  <c r="O105" i="25" s="1"/>
  <c r="L105" i="25"/>
  <c r="M105" i="25" s="1"/>
  <c r="M24" i="25"/>
  <c r="N24" i="25" s="1"/>
  <c r="K24" i="25"/>
  <c r="L24" i="25" s="1"/>
  <c r="N103" i="24"/>
  <c r="O103" i="24" s="1"/>
  <c r="L103" i="24"/>
  <c r="M103" i="24" s="1"/>
  <c r="M22" i="24"/>
  <c r="N22" i="24" s="1"/>
  <c r="K22" i="24"/>
  <c r="L22" i="24" s="1"/>
  <c r="N104" i="23"/>
  <c r="O104" i="23" s="1"/>
  <c r="L104" i="23"/>
  <c r="M104" i="23" s="1"/>
  <c r="M23" i="23"/>
  <c r="N23" i="23" s="1"/>
  <c r="K23" i="23"/>
  <c r="L23" i="23" s="1"/>
  <c r="N105" i="22"/>
  <c r="O105" i="22" s="1"/>
  <c r="L105" i="22"/>
  <c r="M105" i="22" s="1"/>
  <c r="M24" i="22"/>
  <c r="N24" i="22" s="1"/>
  <c r="K24" i="22"/>
  <c r="L24" i="22" s="1"/>
  <c r="N108" i="11"/>
  <c r="O108" i="11" s="1"/>
  <c r="L108" i="11"/>
  <c r="M108" i="11" s="1"/>
  <c r="M27" i="11"/>
  <c r="N27" i="11" s="1"/>
  <c r="K27" i="11"/>
  <c r="L27" i="11" s="1"/>
  <c r="N109" i="10"/>
  <c r="O109" i="10" s="1"/>
  <c r="L109" i="10"/>
  <c r="M109" i="10" s="1"/>
  <c r="M28" i="10"/>
  <c r="N28" i="10" s="1"/>
  <c r="K28" i="10"/>
  <c r="L28" i="10" s="1"/>
  <c r="N108" i="9"/>
  <c r="O108" i="9" s="1"/>
  <c r="L108" i="9"/>
  <c r="M108" i="9" s="1"/>
  <c r="M27" i="9"/>
  <c r="N27" i="9" s="1"/>
  <c r="K27" i="9"/>
  <c r="L27" i="9" s="1"/>
  <c r="N107" i="8"/>
  <c r="O107" i="8" s="1"/>
  <c r="L107" i="8"/>
  <c r="M107" i="8" s="1"/>
  <c r="M26" i="8"/>
  <c r="N26" i="8" s="1"/>
  <c r="K26" i="8"/>
  <c r="L26" i="8" s="1"/>
  <c r="N109" i="7"/>
  <c r="O109" i="7" s="1"/>
  <c r="L109" i="7"/>
  <c r="M109" i="7" s="1"/>
  <c r="M28" i="7"/>
  <c r="N28" i="7" s="1"/>
  <c r="K28" i="7"/>
  <c r="L28" i="7" s="1"/>
  <c r="N107" i="6"/>
  <c r="O107" i="6" s="1"/>
  <c r="L107" i="6"/>
  <c r="M107" i="6" s="1"/>
  <c r="N106" i="5"/>
  <c r="O106" i="5" s="1"/>
  <c r="L106" i="5"/>
  <c r="M106" i="5" s="1"/>
  <c r="M25" i="5"/>
  <c r="N25" i="5" s="1"/>
  <c r="K25" i="5"/>
  <c r="L25" i="5" s="1"/>
  <c r="N106" i="4"/>
  <c r="O106" i="4" s="1"/>
  <c r="L106" i="4"/>
  <c r="M106" i="4" s="1"/>
  <c r="M25" i="4"/>
  <c r="N25" i="4" s="1"/>
  <c r="K25" i="4"/>
  <c r="L25" i="4" s="1"/>
  <c r="N106" i="3"/>
  <c r="O106" i="3" s="1"/>
  <c r="L106" i="3"/>
  <c r="M106" i="3" s="1"/>
  <c r="M25" i="3"/>
  <c r="N25" i="3" s="1"/>
  <c r="K25" i="3"/>
  <c r="L25" i="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O101" i="42"/>
  <c r="O100" i="42"/>
  <c r="C99" i="42"/>
  <c r="C100" i="42" s="1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N20" i="42"/>
  <c r="N19" i="42"/>
  <c r="N18" i="42"/>
  <c r="C17" i="42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O101" i="41"/>
  <c r="O100" i="41"/>
  <c r="C99" i="41"/>
  <c r="C100" i="41" s="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N20" i="41"/>
  <c r="N19" i="41"/>
  <c r="N18" i="41"/>
  <c r="C17" i="4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J92" i="45"/>
  <c r="N100" i="31"/>
  <c r="O100" i="31" s="1"/>
  <c r="L100" i="31"/>
  <c r="M100" i="31" s="1"/>
  <c r="M19" i="31"/>
  <c r="N19" i="31" s="1"/>
  <c r="K19" i="31"/>
  <c r="L19" i="31" s="1"/>
  <c r="N99" i="30"/>
  <c r="O99" i="30" s="1"/>
  <c r="L99" i="30"/>
  <c r="M99" i="30" s="1"/>
  <c r="M18" i="30"/>
  <c r="N18" i="30" s="1"/>
  <c r="K18" i="30"/>
  <c r="L18" i="30" s="1"/>
  <c r="N100" i="29"/>
  <c r="O100" i="29" s="1"/>
  <c r="L100" i="29"/>
  <c r="M100" i="29" s="1"/>
  <c r="M19" i="29"/>
  <c r="N19" i="29" s="1"/>
  <c r="K19" i="29"/>
  <c r="L19" i="29" s="1"/>
  <c r="N100" i="28"/>
  <c r="O100" i="28" s="1"/>
  <c r="L100" i="28"/>
  <c r="M100" i="28" s="1"/>
  <c r="M19" i="28"/>
  <c r="N19" i="28" s="1"/>
  <c r="K19" i="28"/>
  <c r="L19" i="28" s="1"/>
  <c r="N101" i="27"/>
  <c r="O101" i="27" s="1"/>
  <c r="L101" i="27"/>
  <c r="M101" i="27" s="1"/>
  <c r="M20" i="27"/>
  <c r="N20" i="27" s="1"/>
  <c r="K20" i="27"/>
  <c r="L20" i="27" s="1"/>
  <c r="N104" i="25"/>
  <c r="O104" i="25" s="1"/>
  <c r="L104" i="25"/>
  <c r="M104" i="25" s="1"/>
  <c r="M23" i="25"/>
  <c r="N23" i="25" s="1"/>
  <c r="K23" i="25"/>
  <c r="L23" i="25" s="1"/>
  <c r="N102" i="24"/>
  <c r="O102" i="24" s="1"/>
  <c r="L102" i="24"/>
  <c r="M102" i="24" s="1"/>
  <c r="M21" i="24"/>
  <c r="N21" i="24" s="1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 s="1"/>
  <c r="L104" i="22"/>
  <c r="M104" i="22" s="1"/>
  <c r="M23" i="22"/>
  <c r="N23" i="22" s="1"/>
  <c r="K23" i="22"/>
  <c r="L23" i="22" s="1"/>
  <c r="N107" i="11"/>
  <c r="O107" i="11" s="1"/>
  <c r="L107" i="11"/>
  <c r="M107" i="11" s="1"/>
  <c r="M26" i="11"/>
  <c r="N26" i="11" s="1"/>
  <c r="K26" i="11"/>
  <c r="L26" i="11" s="1"/>
  <c r="N108" i="10"/>
  <c r="O108" i="10" s="1"/>
  <c r="L108" i="10"/>
  <c r="M108" i="10" s="1"/>
  <c r="M27" i="10"/>
  <c r="N27" i="10" s="1"/>
  <c r="K27" i="10"/>
  <c r="L27" i="10" s="1"/>
  <c r="N107" i="9"/>
  <c r="O107" i="9" s="1"/>
  <c r="L107" i="9"/>
  <c r="M107" i="9" s="1"/>
  <c r="M26" i="9"/>
  <c r="N26" i="9" s="1"/>
  <c r="K26" i="9"/>
  <c r="L26" i="9" s="1"/>
  <c r="N106" i="8"/>
  <c r="O106" i="8" s="1"/>
  <c r="L106" i="8"/>
  <c r="M106" i="8" s="1"/>
  <c r="M25" i="8"/>
  <c r="N25" i="8" s="1"/>
  <c r="K25" i="8"/>
  <c r="L25" i="8" s="1"/>
  <c r="N108" i="7"/>
  <c r="O108" i="7" s="1"/>
  <c r="L108" i="7"/>
  <c r="M108" i="7" s="1"/>
  <c r="M27" i="7"/>
  <c r="N27" i="7" s="1"/>
  <c r="K27" i="7"/>
  <c r="L27" i="7" s="1"/>
  <c r="M25" i="6"/>
  <c r="N25" i="6" s="1"/>
  <c r="K25" i="6"/>
  <c r="L25" i="6" s="1"/>
  <c r="N106" i="6"/>
  <c r="O106" i="6" s="1"/>
  <c r="L106" i="6"/>
  <c r="M106" i="6" s="1"/>
  <c r="N105" i="5"/>
  <c r="O105" i="5" s="1"/>
  <c r="L105" i="5"/>
  <c r="M105" i="5" s="1"/>
  <c r="M24" i="5"/>
  <c r="N24" i="5" s="1"/>
  <c r="K24" i="5"/>
  <c r="L24" i="5" s="1"/>
  <c r="N105" i="4"/>
  <c r="O105" i="4" s="1"/>
  <c r="L105" i="4"/>
  <c r="M105" i="4" s="1"/>
  <c r="M24" i="4"/>
  <c r="N24" i="4" s="1"/>
  <c r="K24" i="4"/>
  <c r="L24" i="4" s="1"/>
  <c r="M24" i="3"/>
  <c r="N24" i="3" s="1"/>
  <c r="K24" i="3"/>
  <c r="L24" i="3" s="1"/>
  <c r="N105" i="3"/>
  <c r="O105" i="3" s="1"/>
  <c r="L105" i="3"/>
  <c r="M105" i="3" s="1"/>
  <c r="P39" i="17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 s="1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O102" i="39"/>
  <c r="O101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N21" i="39"/>
  <c r="N20" i="39"/>
  <c r="N19" i="39"/>
  <c r="O19" i="39" s="1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O101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N21" i="38"/>
  <c r="N20" i="38"/>
  <c r="N19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O102" i="37"/>
  <c r="O101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N21" i="37"/>
  <c r="N20" i="37"/>
  <c r="O20" i="37" s="1"/>
  <c r="N19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50" i="17"/>
  <c r="M50" i="17"/>
  <c r="N99" i="31"/>
  <c r="O99" i="31" s="1"/>
  <c r="L99" i="31"/>
  <c r="M99" i="31" s="1"/>
  <c r="D96" i="31"/>
  <c r="M18" i="31"/>
  <c r="N18" i="31" s="1"/>
  <c r="K18" i="31"/>
  <c r="L18" i="31" s="1"/>
  <c r="M17" i="30"/>
  <c r="N17" i="30" s="1"/>
  <c r="K17" i="30"/>
  <c r="L17" i="30" s="1"/>
  <c r="N99" i="29"/>
  <c r="O99" i="29" s="1"/>
  <c r="L99" i="29"/>
  <c r="M99" i="29" s="1"/>
  <c r="M18" i="29"/>
  <c r="N18" i="29" s="1"/>
  <c r="K18" i="29"/>
  <c r="L18" i="29" s="1"/>
  <c r="N99" i="28"/>
  <c r="O99" i="28" s="1"/>
  <c r="L99" i="28"/>
  <c r="M99" i="28" s="1"/>
  <c r="M18" i="28"/>
  <c r="N18" i="28" s="1"/>
  <c r="K18" i="28"/>
  <c r="L18" i="28" s="1"/>
  <c r="N103" i="25"/>
  <c r="O103" i="25" s="1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K20" i="24"/>
  <c r="L20" i="24" s="1"/>
  <c r="M21" i="23"/>
  <c r="N21" i="23" s="1"/>
  <c r="K21" i="23"/>
  <c r="L21" i="23" s="1"/>
  <c r="N102" i="23"/>
  <c r="O102" i="23" s="1"/>
  <c r="L102" i="23"/>
  <c r="M102" i="23" s="1"/>
  <c r="N103" i="22"/>
  <c r="O103" i="22" s="1"/>
  <c r="L103" i="22"/>
  <c r="M103" i="22" s="1"/>
  <c r="M22" i="22"/>
  <c r="N22" i="22" s="1"/>
  <c r="K22" i="22"/>
  <c r="L22" i="22" s="1"/>
  <c r="N106" i="11"/>
  <c r="O106" i="11" s="1"/>
  <c r="L106" i="11"/>
  <c r="M106" i="11" s="1"/>
  <c r="M25" i="11"/>
  <c r="N25" i="11" s="1"/>
  <c r="K25" i="11"/>
  <c r="L25" i="11" s="1"/>
  <c r="N107" i="10"/>
  <c r="O107" i="10" s="1"/>
  <c r="L107" i="10"/>
  <c r="M107" i="10" s="1"/>
  <c r="M26" i="10"/>
  <c r="N26" i="10" s="1"/>
  <c r="K26" i="10"/>
  <c r="L26" i="10" s="1"/>
  <c r="N106" i="9"/>
  <c r="O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L24" i="8" s="1"/>
  <c r="N107" i="7"/>
  <c r="O107" i="7" s="1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 s="1"/>
  <c r="K24" i="6"/>
  <c r="L24" i="6" s="1"/>
  <c r="N104" i="5"/>
  <c r="O104" i="5" s="1"/>
  <c r="L104" i="5"/>
  <c r="M104" i="5" s="1"/>
  <c r="M23" i="5"/>
  <c r="N23" i="5" s="1"/>
  <c r="K23" i="5"/>
  <c r="L23" i="5" s="1"/>
  <c r="N104" i="4"/>
  <c r="O104" i="4" s="1"/>
  <c r="L104" i="4"/>
  <c r="M104" i="4" s="1"/>
  <c r="M23" i="4"/>
  <c r="N23" i="4" s="1"/>
  <c r="K23" i="4"/>
  <c r="L23" i="4" s="1"/>
  <c r="N104" i="3"/>
  <c r="O104" i="3" s="1"/>
  <c r="L104" i="3"/>
  <c r="M104" i="3" s="1"/>
  <c r="M23" i="3"/>
  <c r="N23" i="3" s="1"/>
  <c r="K23" i="3"/>
  <c r="L23" i="3" s="1"/>
  <c r="N100" i="27"/>
  <c r="O100" i="27" s="1"/>
  <c r="L100" i="27"/>
  <c r="M100" i="27" s="1"/>
  <c r="N99" i="27"/>
  <c r="O99" i="27" s="1"/>
  <c r="L99" i="27"/>
  <c r="M99" i="27" s="1"/>
  <c r="M19" i="27"/>
  <c r="N19" i="27" s="1"/>
  <c r="K19" i="27"/>
  <c r="L19" i="27" s="1"/>
  <c r="M17" i="31"/>
  <c r="N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N24" i="31"/>
  <c r="N23" i="31"/>
  <c r="N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O104" i="30"/>
  <c r="O103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N23" i="30"/>
  <c r="N22" i="30"/>
  <c r="N21" i="30"/>
  <c r="C17" i="30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K17" i="29"/>
  <c r="L17" i="29" s="1"/>
  <c r="M17" i="28"/>
  <c r="N17" i="28" s="1"/>
  <c r="K17" i="28"/>
  <c r="L17" i="28" s="1"/>
  <c r="N102" i="25"/>
  <c r="O102" i="25" s="1"/>
  <c r="L102" i="25"/>
  <c r="M102" i="25" s="1"/>
  <c r="M21" i="25"/>
  <c r="N21" i="25" s="1"/>
  <c r="K21" i="25"/>
  <c r="L21" i="25" s="1"/>
  <c r="N100" i="24"/>
  <c r="O100" i="24" s="1"/>
  <c r="L100" i="24"/>
  <c r="M100" i="24" s="1"/>
  <c r="M19" i="24"/>
  <c r="N19" i="24" s="1"/>
  <c r="K19" i="24"/>
  <c r="L19" i="24" s="1"/>
  <c r="N101" i="23"/>
  <c r="O101" i="23" s="1"/>
  <c r="L101" i="23"/>
  <c r="M101" i="23" s="1"/>
  <c r="M20" i="23"/>
  <c r="N20" i="23" s="1"/>
  <c r="K20" i="23"/>
  <c r="L20" i="23" s="1"/>
  <c r="N102" i="22"/>
  <c r="O102" i="22" s="1"/>
  <c r="L102" i="22"/>
  <c r="M102" i="22" s="1"/>
  <c r="M21" i="22"/>
  <c r="N21" i="22" s="1"/>
  <c r="K21" i="22"/>
  <c r="L21" i="22" s="1"/>
  <c r="N105" i="11"/>
  <c r="O105" i="11" s="1"/>
  <c r="L105" i="11"/>
  <c r="M105" i="11" s="1"/>
  <c r="M24" i="11"/>
  <c r="N24" i="11" s="1"/>
  <c r="K24" i="11"/>
  <c r="L24" i="11" s="1"/>
  <c r="N106" i="10"/>
  <c r="O106" i="10" s="1"/>
  <c r="L106" i="10"/>
  <c r="M106" i="10" s="1"/>
  <c r="M25" i="10"/>
  <c r="N25" i="10" s="1"/>
  <c r="K25" i="10"/>
  <c r="L25" i="10" s="1"/>
  <c r="N105" i="9"/>
  <c r="O105" i="9" s="1"/>
  <c r="L105" i="9"/>
  <c r="M105" i="9" s="1"/>
  <c r="M24" i="9"/>
  <c r="N24" i="9" s="1"/>
  <c r="K24" i="9"/>
  <c r="L24" i="9" s="1"/>
  <c r="N104" i="8"/>
  <c r="O104" i="8" s="1"/>
  <c r="L104" i="8"/>
  <c r="M104" i="8" s="1"/>
  <c r="M23" i="8"/>
  <c r="N23" i="8" s="1"/>
  <c r="K23" i="8"/>
  <c r="L23" i="8" s="1"/>
  <c r="N106" i="7"/>
  <c r="O106" i="7" s="1"/>
  <c r="L106" i="7"/>
  <c r="M106" i="7" s="1"/>
  <c r="M25" i="7"/>
  <c r="N25" i="7" s="1"/>
  <c r="K25" i="7"/>
  <c r="L25" i="7" s="1"/>
  <c r="N104" i="6"/>
  <c r="O104" i="6" s="1"/>
  <c r="L104" i="6"/>
  <c r="M104" i="6" s="1"/>
  <c r="M23" i="6"/>
  <c r="N23" i="6" s="1"/>
  <c r="K23" i="6"/>
  <c r="L23" i="6" s="1"/>
  <c r="N103" i="5"/>
  <c r="O103" i="5" s="1"/>
  <c r="L103" i="5"/>
  <c r="M103" i="5" s="1"/>
  <c r="M22" i="5"/>
  <c r="N22" i="5" s="1"/>
  <c r="K22" i="5"/>
  <c r="L22" i="5" s="1"/>
  <c r="N103" i="4"/>
  <c r="O103" i="4" s="1"/>
  <c r="L103" i="4"/>
  <c r="M103" i="4" s="1"/>
  <c r="M22" i="4"/>
  <c r="N22" i="4" s="1"/>
  <c r="K22" i="4"/>
  <c r="L22" i="4" s="1"/>
  <c r="N103" i="3"/>
  <c r="O103" i="3" s="1"/>
  <c r="L103" i="3"/>
  <c r="M103" i="3" s="1"/>
  <c r="M22" i="3"/>
  <c r="N22" i="3" s="1"/>
  <c r="K22" i="3"/>
  <c r="L22" i="3" s="1"/>
  <c r="D8" i="13"/>
  <c r="D90" i="13" s="1"/>
  <c r="D92" i="23"/>
  <c r="P1" i="29"/>
  <c r="P83" i="29" s="1"/>
  <c r="P1" i="28"/>
  <c r="P83" i="28" s="1"/>
  <c r="P1" i="27"/>
  <c r="P83" i="27" s="1"/>
  <c r="D8" i="29"/>
  <c r="D90" i="29" s="1"/>
  <c r="D8" i="28"/>
  <c r="D90" i="28" s="1"/>
  <c r="D8" i="27"/>
  <c r="D90" i="27" s="1"/>
  <c r="D8" i="25"/>
  <c r="D90" i="25" s="1"/>
  <c r="D8" i="24"/>
  <c r="D90" i="24" s="1"/>
  <c r="D8" i="22"/>
  <c r="D90" i="22" s="1"/>
  <c r="D8" i="11"/>
  <c r="D90" i="11" s="1"/>
  <c r="D8" i="10"/>
  <c r="D90" i="10" s="1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N24" i="29"/>
  <c r="N23" i="29"/>
  <c r="N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O105" i="28"/>
  <c r="O104" i="28"/>
  <c r="D96" i="28"/>
  <c r="D94" i="28"/>
  <c r="L93" i="28"/>
  <c r="J93" i="28"/>
  <c r="C99" i="28"/>
  <c r="C100" i="28" s="1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N24" i="28"/>
  <c r="N23" i="28"/>
  <c r="N22" i="28"/>
  <c r="C17" i="28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 s="1"/>
  <c r="K17" i="27"/>
  <c r="L17" i="27" s="1"/>
  <c r="N101" i="25"/>
  <c r="O101" i="25" s="1"/>
  <c r="L101" i="25"/>
  <c r="M101" i="25" s="1"/>
  <c r="N100" i="25"/>
  <c r="O100" i="25" s="1"/>
  <c r="L100" i="25"/>
  <c r="M100" i="25" s="1"/>
  <c r="N99" i="25"/>
  <c r="O99" i="25" s="1"/>
  <c r="L99" i="25"/>
  <c r="M99" i="25" s="1"/>
  <c r="M20" i="25"/>
  <c r="N20" i="25" s="1"/>
  <c r="K20" i="25"/>
  <c r="L20" i="25" s="1"/>
  <c r="D92" i="24"/>
  <c r="N100" i="23"/>
  <c r="O100" i="23" s="1"/>
  <c r="L100" i="23"/>
  <c r="M100" i="23" s="1"/>
  <c r="M19" i="23"/>
  <c r="N19" i="23" s="1"/>
  <c r="K19" i="23"/>
  <c r="L19" i="23" s="1"/>
  <c r="N101" i="22"/>
  <c r="O101" i="22" s="1"/>
  <c r="L101" i="22"/>
  <c r="M101" i="22" s="1"/>
  <c r="M20" i="22"/>
  <c r="N20" i="22" s="1"/>
  <c r="K20" i="22"/>
  <c r="L20" i="22" s="1"/>
  <c r="N104" i="11"/>
  <c r="O104" i="11" s="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 s="1"/>
  <c r="K24" i="10"/>
  <c r="L24" i="10" s="1"/>
  <c r="N104" i="9"/>
  <c r="O104" i="9" s="1"/>
  <c r="L104" i="9"/>
  <c r="M104" i="9" s="1"/>
  <c r="M23" i="9"/>
  <c r="N23" i="9" s="1"/>
  <c r="K23" i="9"/>
  <c r="L23" i="9" s="1"/>
  <c r="N103" i="8"/>
  <c r="O103" i="8" s="1"/>
  <c r="L103" i="8"/>
  <c r="M103" i="8" s="1"/>
  <c r="M22" i="8"/>
  <c r="N22" i="8" s="1"/>
  <c r="K22" i="8"/>
  <c r="L22" i="8" s="1"/>
  <c r="N105" i="7"/>
  <c r="O105" i="7" s="1"/>
  <c r="L105" i="7"/>
  <c r="M105" i="7" s="1"/>
  <c r="M24" i="7"/>
  <c r="N24" i="7" s="1"/>
  <c r="K24" i="7"/>
  <c r="L24" i="7" s="1"/>
  <c r="N103" i="6"/>
  <c r="O103" i="6" s="1"/>
  <c r="L103" i="6"/>
  <c r="M103" i="6" s="1"/>
  <c r="M22" i="6"/>
  <c r="N22" i="6" s="1"/>
  <c r="K22" i="6"/>
  <c r="L22" i="6" s="1"/>
  <c r="M21" i="5"/>
  <c r="N21" i="5" s="1"/>
  <c r="K21" i="5"/>
  <c r="L21" i="5" s="1"/>
  <c r="N102" i="4"/>
  <c r="O102" i="4" s="1"/>
  <c r="L102" i="4"/>
  <c r="M102" i="4" s="1"/>
  <c r="M21" i="4"/>
  <c r="N21" i="4" s="1"/>
  <c r="K21" i="4"/>
  <c r="L21" i="4" s="1"/>
  <c r="N102" i="3"/>
  <c r="O102" i="3" s="1"/>
  <c r="L102" i="3"/>
  <c r="M102" i="3" s="1"/>
  <c r="M21" i="3"/>
  <c r="N21" i="3" s="1"/>
  <c r="K21" i="3"/>
  <c r="L21" i="3" s="1"/>
  <c r="P86" i="6"/>
  <c r="O5" i="6"/>
  <c r="P87" i="6" s="1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 s="1"/>
  <c r="M18" i="25"/>
  <c r="N18" i="25" s="1"/>
  <c r="K19" i="25"/>
  <c r="L19" i="25" s="1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N25" i="27"/>
  <c r="N24" i="27"/>
  <c r="N23" i="27"/>
  <c r="O23" i="27" s="1"/>
  <c r="C17" i="27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K11" i="27"/>
  <c r="I11" i="27"/>
  <c r="M17" i="25"/>
  <c r="N17" i="25" s="1"/>
  <c r="K17" i="25"/>
  <c r="L17" i="25" s="1"/>
  <c r="M17" i="24"/>
  <c r="N17" i="24" s="1"/>
  <c r="K17" i="24"/>
  <c r="L17" i="24" s="1"/>
  <c r="N99" i="23"/>
  <c r="O99" i="23" s="1"/>
  <c r="L99" i="23"/>
  <c r="M99" i="23" s="1"/>
  <c r="M18" i="23"/>
  <c r="N18" i="23" s="1"/>
  <c r="K18" i="23"/>
  <c r="L18" i="23" s="1"/>
  <c r="N100" i="22"/>
  <c r="O100" i="22" s="1"/>
  <c r="L100" i="22"/>
  <c r="M100" i="22" s="1"/>
  <c r="M19" i="22"/>
  <c r="N19" i="22" s="1"/>
  <c r="K19" i="22"/>
  <c r="L19" i="22" s="1"/>
  <c r="N103" i="11"/>
  <c r="O103" i="11" s="1"/>
  <c r="L103" i="11"/>
  <c r="M103" i="11" s="1"/>
  <c r="M22" i="11"/>
  <c r="N22" i="11" s="1"/>
  <c r="K22" i="11"/>
  <c r="L22" i="11" s="1"/>
  <c r="N104" i="10"/>
  <c r="O104" i="10" s="1"/>
  <c r="L104" i="10"/>
  <c r="M104" i="10" s="1"/>
  <c r="M23" i="10"/>
  <c r="N23" i="10" s="1"/>
  <c r="K23" i="10"/>
  <c r="L23" i="10" s="1"/>
  <c r="N103" i="9"/>
  <c r="O103" i="9" s="1"/>
  <c r="L103" i="9"/>
  <c r="M103" i="9" s="1"/>
  <c r="M22" i="9"/>
  <c r="N22" i="9" s="1"/>
  <c r="K22" i="9"/>
  <c r="L22" i="9" s="1"/>
  <c r="N102" i="8"/>
  <c r="O102" i="8" s="1"/>
  <c r="L102" i="8"/>
  <c r="M102" i="8" s="1"/>
  <c r="M21" i="8"/>
  <c r="N21" i="8" s="1"/>
  <c r="K21" i="8"/>
  <c r="L21" i="8" s="1"/>
  <c r="N104" i="7"/>
  <c r="O104" i="7" s="1"/>
  <c r="L104" i="7"/>
  <c r="M104" i="7" s="1"/>
  <c r="M23" i="7"/>
  <c r="N23" i="7" s="1"/>
  <c r="K23" i="7"/>
  <c r="L23" i="7" s="1"/>
  <c r="N102" i="6"/>
  <c r="O102" i="6" s="1"/>
  <c r="L102" i="6"/>
  <c r="M102" i="6" s="1"/>
  <c r="M21" i="6"/>
  <c r="N21" i="6" s="1"/>
  <c r="K21" i="6"/>
  <c r="L21" i="6" s="1"/>
  <c r="N101" i="5"/>
  <c r="O101" i="5" s="1"/>
  <c r="L101" i="5"/>
  <c r="M101" i="5" s="1"/>
  <c r="M20" i="5"/>
  <c r="N20" i="5" s="1"/>
  <c r="K20" i="5"/>
  <c r="L20" i="5" s="1"/>
  <c r="N101" i="4"/>
  <c r="O101" i="4" s="1"/>
  <c r="L101" i="4"/>
  <c r="M101" i="4" s="1"/>
  <c r="M20" i="4"/>
  <c r="N20" i="4" s="1"/>
  <c r="K20" i="4"/>
  <c r="L20" i="4" s="1"/>
  <c r="N101" i="3"/>
  <c r="O101" i="3" s="1"/>
  <c r="L101" i="3"/>
  <c r="M101" i="3" s="1"/>
  <c r="M20" i="3"/>
  <c r="N20" i="3" s="1"/>
  <c r="K20" i="3"/>
  <c r="L20" i="3" s="1"/>
  <c r="I10" i="45"/>
  <c r="F81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K19" i="4"/>
  <c r="L19" i="4" s="1"/>
  <c r="P19" i="17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L19" i="5" s="1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K20" i="6"/>
  <c r="L20" i="6" s="1"/>
  <c r="P21" i="17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L20" i="8" s="1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 s="1"/>
  <c r="P24" i="17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L22" i="10" s="1"/>
  <c r="P25" i="17"/>
  <c r="C17" i="1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L18" i="22" s="1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L17" i="23" s="1"/>
  <c r="P28" i="17"/>
  <c r="P29" i="17"/>
  <c r="P30" i="17"/>
  <c r="W29" i="17"/>
  <c r="W30" i="17"/>
  <c r="C17" i="13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M19" i="3"/>
  <c r="N19" i="3" s="1"/>
  <c r="M19" i="4"/>
  <c r="N19" i="4" s="1"/>
  <c r="M19" i="5"/>
  <c r="N19" i="5" s="1"/>
  <c r="M20" i="6"/>
  <c r="N20" i="6" s="1"/>
  <c r="M22" i="7"/>
  <c r="N22" i="7" s="1"/>
  <c r="M20" i="8"/>
  <c r="N20" i="8" s="1"/>
  <c r="M21" i="9"/>
  <c r="N21" i="9" s="1"/>
  <c r="M22" i="10"/>
  <c r="N22" i="10" s="1"/>
  <c r="M21" i="11"/>
  <c r="N21" i="11" s="1"/>
  <c r="M18" i="22"/>
  <c r="N18" i="22" s="1"/>
  <c r="M17" i="23"/>
  <c r="N17" i="23" s="1"/>
  <c r="F81" i="1"/>
  <c r="F86" i="1"/>
  <c r="F90" i="1"/>
  <c r="P1" i="25"/>
  <c r="P83" i="25" s="1"/>
  <c r="I11" i="25"/>
  <c r="K11" i="25"/>
  <c r="N27" i="25"/>
  <c r="N28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1" i="25"/>
  <c r="J93" i="25"/>
  <c r="L93" i="25"/>
  <c r="D96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P131" i="25"/>
  <c r="M132" i="25"/>
  <c r="P132" i="25"/>
  <c r="M133" i="25"/>
  <c r="P133" i="25"/>
  <c r="M134" i="25"/>
  <c r="P134" i="25"/>
  <c r="M135" i="25"/>
  <c r="P135" i="25"/>
  <c r="M136" i="25"/>
  <c r="P136" i="25"/>
  <c r="M137" i="25"/>
  <c r="P137" i="25"/>
  <c r="M138" i="25"/>
  <c r="P138" i="25"/>
  <c r="M139" i="25"/>
  <c r="P139" i="25"/>
  <c r="M140" i="25"/>
  <c r="P140" i="25"/>
  <c r="M141" i="25"/>
  <c r="P141" i="25"/>
  <c r="M142" i="25"/>
  <c r="P142" i="25"/>
  <c r="M143" i="25"/>
  <c r="P143" i="25"/>
  <c r="M144" i="25"/>
  <c r="P144" i="25"/>
  <c r="M145" i="25"/>
  <c r="P145" i="25"/>
  <c r="M146" i="25"/>
  <c r="P146" i="25"/>
  <c r="M147" i="25"/>
  <c r="P147" i="25"/>
  <c r="M148" i="25"/>
  <c r="P148" i="25"/>
  <c r="M149" i="25"/>
  <c r="P149" i="25"/>
  <c r="M150" i="25"/>
  <c r="P150" i="25"/>
  <c r="M151" i="25"/>
  <c r="P151" i="25"/>
  <c r="M152" i="25"/>
  <c r="P152" i="25"/>
  <c r="M153" i="25"/>
  <c r="P153" i="25"/>
  <c r="M154" i="25"/>
  <c r="P154" i="25"/>
  <c r="N99" i="22"/>
  <c r="O99" i="22" s="1"/>
  <c r="L99" i="22"/>
  <c r="M99" i="22" s="1"/>
  <c r="N102" i="11"/>
  <c r="O102" i="11" s="1"/>
  <c r="L102" i="11"/>
  <c r="M102" i="11" s="1"/>
  <c r="N103" i="10"/>
  <c r="O103" i="10" s="1"/>
  <c r="L103" i="10"/>
  <c r="M103" i="10" s="1"/>
  <c r="N102" i="9"/>
  <c r="O102" i="9" s="1"/>
  <c r="L102" i="9"/>
  <c r="M102" i="9" s="1"/>
  <c r="N101" i="8"/>
  <c r="O101" i="8" s="1"/>
  <c r="L101" i="8"/>
  <c r="M101" i="8" s="1"/>
  <c r="N103" i="7"/>
  <c r="O103" i="7" s="1"/>
  <c r="L103" i="7"/>
  <c r="M103" i="7" s="1"/>
  <c r="N101" i="6"/>
  <c r="O101" i="6" s="1"/>
  <c r="L101" i="6"/>
  <c r="M101" i="6" s="1"/>
  <c r="N100" i="5"/>
  <c r="O100" i="5" s="1"/>
  <c r="L100" i="5"/>
  <c r="M100" i="5" s="1"/>
  <c r="N100" i="4"/>
  <c r="O100" i="4" s="1"/>
  <c r="L100" i="4"/>
  <c r="M100" i="4" s="1"/>
  <c r="P1" i="24"/>
  <c r="P83" i="24" s="1"/>
  <c r="I11" i="24"/>
  <c r="K11" i="24"/>
  <c r="N25" i="24"/>
  <c r="N26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1" i="24"/>
  <c r="J93" i="24"/>
  <c r="L93" i="24"/>
  <c r="D96" i="24"/>
  <c r="O106" i="24"/>
  <c r="O107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O100" i="3" s="1"/>
  <c r="L100" i="3"/>
  <c r="M100" i="3" s="1"/>
  <c r="M18" i="3"/>
  <c r="N18" i="3" s="1"/>
  <c r="D10" i="3"/>
  <c r="K21" i="10"/>
  <c r="L21" i="10" s="1"/>
  <c r="K18" i="3"/>
  <c r="L18" i="3" s="1"/>
  <c r="K18" i="4"/>
  <c r="L18" i="4" s="1"/>
  <c r="K18" i="5"/>
  <c r="L18" i="5" s="1"/>
  <c r="K19" i="6"/>
  <c r="L19" i="6" s="1"/>
  <c r="K21" i="7"/>
  <c r="L21" i="7" s="1"/>
  <c r="K19" i="8"/>
  <c r="L19" i="8" s="1"/>
  <c r="K20" i="9"/>
  <c r="L20" i="9" s="1"/>
  <c r="K20" i="11"/>
  <c r="L20" i="11" s="1"/>
  <c r="K17" i="22"/>
  <c r="L17" i="22" s="1"/>
  <c r="W28" i="17"/>
  <c r="B19" i="23"/>
  <c r="I17" i="23"/>
  <c r="P1" i="23"/>
  <c r="P83" i="23" s="1"/>
  <c r="I11" i="23"/>
  <c r="K11" i="23"/>
  <c r="B18" i="23"/>
  <c r="N26" i="23"/>
  <c r="N27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O107" i="23"/>
  <c r="O108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 s="1"/>
  <c r="N101" i="11"/>
  <c r="O101" i="11" s="1"/>
  <c r="L101" i="11"/>
  <c r="M101" i="11" s="1"/>
  <c r="M20" i="11"/>
  <c r="N20" i="11" s="1"/>
  <c r="M21" i="10"/>
  <c r="N21" i="10" s="1"/>
  <c r="N102" i="10"/>
  <c r="O102" i="10" s="1"/>
  <c r="L102" i="10"/>
  <c r="M102" i="10" s="1"/>
  <c r="M20" i="9"/>
  <c r="N20" i="9" s="1"/>
  <c r="N101" i="9"/>
  <c r="O101" i="9" s="1"/>
  <c r="L101" i="9"/>
  <c r="M101" i="9" s="1"/>
  <c r="N100" i="8"/>
  <c r="O100" i="8" s="1"/>
  <c r="L100" i="8"/>
  <c r="M100" i="8" s="1"/>
  <c r="M19" i="8"/>
  <c r="N19" i="8" s="1"/>
  <c r="N102" i="7"/>
  <c r="O102" i="7" s="1"/>
  <c r="L102" i="7"/>
  <c r="M102" i="7" s="1"/>
  <c r="M21" i="7"/>
  <c r="N21" i="7" s="1"/>
  <c r="N100" i="6"/>
  <c r="O100" i="6" s="1"/>
  <c r="L100" i="6"/>
  <c r="M100" i="6" s="1"/>
  <c r="M19" i="6"/>
  <c r="N19" i="6" s="1"/>
  <c r="N99" i="5"/>
  <c r="O99" i="5" s="1"/>
  <c r="L99" i="5"/>
  <c r="M99" i="5" s="1"/>
  <c r="M18" i="5"/>
  <c r="N18" i="5" s="1"/>
  <c r="N99" i="4"/>
  <c r="O99" i="4" s="1"/>
  <c r="L99" i="4"/>
  <c r="M99" i="4" s="1"/>
  <c r="M18" i="4"/>
  <c r="N18" i="4" s="1"/>
  <c r="N99" i="3"/>
  <c r="O99" i="3" s="1"/>
  <c r="L99" i="3"/>
  <c r="M99" i="3" s="1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W27" i="17"/>
  <c r="N99" i="6"/>
  <c r="O99" i="6" s="1"/>
  <c r="P1" i="22"/>
  <c r="P83" i="22" s="1"/>
  <c r="I11" i="22"/>
  <c r="K11" i="22"/>
  <c r="I17" i="22"/>
  <c r="I18" i="22"/>
  <c r="N27" i="22"/>
  <c r="N28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O108" i="22"/>
  <c r="O109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I18" i="11"/>
  <c r="L18" i="11"/>
  <c r="N18" i="11"/>
  <c r="I19" i="11"/>
  <c r="L19" i="11"/>
  <c r="N19" i="11"/>
  <c r="I20" i="11"/>
  <c r="I21" i="11"/>
  <c r="N30" i="11"/>
  <c r="N31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J102" i="11"/>
  <c r="O111" i="11"/>
  <c r="O112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I18" i="10"/>
  <c r="L18" i="10"/>
  <c r="N18" i="10"/>
  <c r="I19" i="10"/>
  <c r="L19" i="10"/>
  <c r="N19" i="10"/>
  <c r="I20" i="10"/>
  <c r="L20" i="10"/>
  <c r="N20" i="10"/>
  <c r="I21" i="10"/>
  <c r="I22" i="10"/>
  <c r="N31" i="10"/>
  <c r="N32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J102" i="10"/>
  <c r="J103" i="10"/>
  <c r="O112" i="10"/>
  <c r="O113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I18" i="9"/>
  <c r="L18" i="9"/>
  <c r="N18" i="9"/>
  <c r="I19" i="9"/>
  <c r="L19" i="9"/>
  <c r="N19" i="9"/>
  <c r="I21" i="9"/>
  <c r="N30" i="9"/>
  <c r="N31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J102" i="9"/>
  <c r="O111" i="9"/>
  <c r="O112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I19" i="8"/>
  <c r="I20" i="8"/>
  <c r="N29" i="8"/>
  <c r="N30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J100" i="8"/>
  <c r="J101" i="8"/>
  <c r="O110" i="8"/>
  <c r="O111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I18" i="7"/>
  <c r="N18" i="7"/>
  <c r="I19" i="7"/>
  <c r="L19" i="7"/>
  <c r="N19" i="7"/>
  <c r="I20" i="7"/>
  <c r="L20" i="7"/>
  <c r="N20" i="7"/>
  <c r="I21" i="7"/>
  <c r="I22" i="7"/>
  <c r="N31" i="7"/>
  <c r="N32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J101" i="7"/>
  <c r="O101" i="7"/>
  <c r="J102" i="7"/>
  <c r="J103" i="7"/>
  <c r="O112" i="7"/>
  <c r="O113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I18" i="6"/>
  <c r="L18" i="6"/>
  <c r="N18" i="6"/>
  <c r="N29" i="6"/>
  <c r="N30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J101" i="6"/>
  <c r="O110" i="6"/>
  <c r="O111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I18" i="5"/>
  <c r="I19" i="5"/>
  <c r="N28" i="5"/>
  <c r="N29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J100" i="5"/>
  <c r="O109" i="5"/>
  <c r="O110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I19" i="4"/>
  <c r="N29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J100" i="4"/>
  <c r="O109" i="4"/>
  <c r="O110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N28" i="3"/>
  <c r="N29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J100" i="3"/>
  <c r="O109" i="3"/>
  <c r="O110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B104" i="11"/>
  <c r="B24" i="10"/>
  <c r="B104" i="9"/>
  <c r="B23" i="9"/>
  <c r="B102" i="5"/>
  <c r="B102" i="3"/>
  <c r="B21" i="3"/>
  <c r="B19" i="25"/>
  <c r="B20" i="25"/>
  <c r="I18" i="25"/>
  <c r="C99" i="27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C99" i="24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25" i="10"/>
  <c r="B24" i="9"/>
  <c r="B23" i="8"/>
  <c r="B104" i="6"/>
  <c r="B22" i="5"/>
  <c r="M18" i="24"/>
  <c r="N18" i="24" s="1"/>
  <c r="B100" i="24"/>
  <c r="N99" i="24"/>
  <c r="O99" i="24" s="1"/>
  <c r="L99" i="24"/>
  <c r="M99" i="24" s="1"/>
  <c r="J99" i="24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B107" i="10"/>
  <c r="B26" i="10"/>
  <c r="B24" i="8"/>
  <c r="B107" i="7"/>
  <c r="B26" i="7"/>
  <c r="B24" i="6"/>
  <c r="B104" i="4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B108" i="10"/>
  <c r="B26" i="9"/>
  <c r="B27" i="7"/>
  <c r="B106" i="6"/>
  <c r="B24" i="4"/>
  <c r="B105" i="3"/>
  <c r="K18" i="27"/>
  <c r="L18" i="27" s="1"/>
  <c r="B103" i="23"/>
  <c r="B100" i="27"/>
  <c r="B19" i="27"/>
  <c r="I18" i="27"/>
  <c r="M18" i="27"/>
  <c r="N18" i="27" s="1"/>
  <c r="I19" i="27"/>
  <c r="B101" i="27"/>
  <c r="J100" i="27"/>
  <c r="B100" i="28"/>
  <c r="B18" i="30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B28" i="7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B18" i="39"/>
  <c r="B18" i="37"/>
  <c r="B103" i="27"/>
  <c r="B25" i="25"/>
  <c r="B25" i="22"/>
  <c r="B28" i="11"/>
  <c r="B109" i="9"/>
  <c r="B107" i="5"/>
  <c r="A2" i="2"/>
  <c r="I10" i="7"/>
  <c r="I10" i="25"/>
  <c r="D93" i="25" s="1"/>
  <c r="C99" i="25" s="1"/>
  <c r="I10" i="31"/>
  <c r="D94" i="3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B108" i="6"/>
  <c r="B21" i="31"/>
  <c r="I20" i="31"/>
  <c r="J101" i="31"/>
  <c r="B102" i="31"/>
  <c r="J92" i="41"/>
  <c r="L86" i="41" s="1"/>
  <c r="B109" i="6"/>
  <c r="B110" i="11"/>
  <c r="B18" i="38"/>
  <c r="I17" i="38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B19" i="38"/>
  <c r="B103" i="28"/>
  <c r="B22" i="28"/>
  <c r="B109" i="8"/>
  <c r="B27" i="3"/>
  <c r="B101" i="30"/>
  <c r="B104" i="27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I10" i="44"/>
  <c r="I10" i="46"/>
  <c r="I10" i="43"/>
  <c r="O57" i="17"/>
  <c r="F57" i="17"/>
  <c r="E57" i="17"/>
  <c r="N57" i="17"/>
  <c r="D57" i="17"/>
  <c r="C57" i="17"/>
  <c r="D8" i="3" l="1"/>
  <c r="D90" i="3" s="1"/>
  <c r="D92" i="3"/>
  <c r="P99" i="31"/>
  <c r="C100" i="25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O23" i="23"/>
  <c r="O24" i="8"/>
  <c r="P103" i="7"/>
  <c r="P102" i="9"/>
  <c r="P102" i="11"/>
  <c r="P103" i="11"/>
  <c r="O20" i="25"/>
  <c r="P100" i="25"/>
  <c r="P103" i="8"/>
  <c r="P99" i="10"/>
  <c r="P101" i="7"/>
  <c r="P101" i="4"/>
  <c r="P104" i="7"/>
  <c r="P99" i="23"/>
  <c r="O25" i="10"/>
  <c r="O26" i="7"/>
  <c r="O25" i="9"/>
  <c r="O18" i="39"/>
  <c r="O19" i="6"/>
  <c r="P103" i="27"/>
  <c r="C59" i="1"/>
  <c r="O23" i="7"/>
  <c r="P99" i="5"/>
  <c r="P100" i="11"/>
  <c r="P102" i="24"/>
  <c r="I12" i="3"/>
  <c r="I13" i="3" s="1"/>
  <c r="O20" i="5"/>
  <c r="O21" i="11"/>
  <c r="O22" i="7"/>
  <c r="O19" i="3"/>
  <c r="P104" i="10"/>
  <c r="P109" i="10"/>
  <c r="P102" i="4"/>
  <c r="O22" i="6"/>
  <c r="O24" i="7"/>
  <c r="D99" i="24"/>
  <c r="P105" i="10"/>
  <c r="P104" i="11"/>
  <c r="P101" i="22"/>
  <c r="O27" i="9"/>
  <c r="P100" i="30"/>
  <c r="O17" i="37"/>
  <c r="P100" i="6"/>
  <c r="O20" i="4"/>
  <c r="O18" i="25"/>
  <c r="P99" i="7"/>
  <c r="O19" i="7"/>
  <c r="P100" i="5"/>
  <c r="P100" i="23"/>
  <c r="P103" i="5"/>
  <c r="P106" i="7"/>
  <c r="P102" i="22"/>
  <c r="O17" i="28"/>
  <c r="P99" i="27"/>
  <c r="O23" i="5"/>
  <c r="O24" i="6"/>
  <c r="P99" i="29"/>
  <c r="O18" i="31"/>
  <c r="O24" i="4"/>
  <c r="O24" i="25"/>
  <c r="O20" i="28"/>
  <c r="O17" i="4"/>
  <c r="O18" i="22"/>
  <c r="O23" i="6"/>
  <c r="O24" i="11"/>
  <c r="P104" i="4"/>
  <c r="P105" i="6"/>
  <c r="P103" i="24"/>
  <c r="P100" i="24"/>
  <c r="P99" i="39"/>
  <c r="O19" i="5"/>
  <c r="P102" i="10"/>
  <c r="P101" i="11"/>
  <c r="O33" i="27"/>
  <c r="P103" i="6"/>
  <c r="P102" i="25"/>
  <c r="O58" i="37"/>
  <c r="O24" i="5"/>
  <c r="O27" i="7"/>
  <c r="O26" i="9"/>
  <c r="O19" i="29"/>
  <c r="P101" i="29"/>
  <c r="P107" i="3"/>
  <c r="P108" i="8"/>
  <c r="P102" i="5"/>
  <c r="P106" i="10"/>
  <c r="P105" i="11"/>
  <c r="O26" i="10"/>
  <c r="O25" i="11"/>
  <c r="P105" i="4"/>
  <c r="P106" i="8"/>
  <c r="P102" i="27"/>
  <c r="O26" i="6"/>
  <c r="P99" i="37"/>
  <c r="I12" i="40"/>
  <c r="I13" i="40" s="1"/>
  <c r="O18" i="6"/>
  <c r="O24" i="10"/>
  <c r="P101" i="25"/>
  <c r="P107" i="7"/>
  <c r="P105" i="8"/>
  <c r="P101" i="24"/>
  <c r="P105" i="22"/>
  <c r="I12" i="38"/>
  <c r="I13" i="38" s="1"/>
  <c r="I12" i="25"/>
  <c r="I13" i="25" s="1"/>
  <c r="F18" i="1"/>
  <c r="P102" i="7"/>
  <c r="O17" i="23"/>
  <c r="P106" i="9"/>
  <c r="P109" i="7"/>
  <c r="P107" i="8"/>
  <c r="O27" i="11"/>
  <c r="O20" i="29"/>
  <c r="O20" i="31"/>
  <c r="P106" i="22"/>
  <c r="O18" i="28"/>
  <c r="P99" i="38"/>
  <c r="I12" i="13"/>
  <c r="I13" i="13" s="1"/>
  <c r="I12" i="42"/>
  <c r="I13" i="42" s="1"/>
  <c r="P102" i="6"/>
  <c r="P103" i="9"/>
  <c r="O17" i="9"/>
  <c r="O21" i="10"/>
  <c r="O17" i="25"/>
  <c r="P99" i="25"/>
  <c r="O22" i="3"/>
  <c r="O22" i="4"/>
  <c r="O22" i="5"/>
  <c r="O24" i="9"/>
  <c r="O21" i="22"/>
  <c r="P104" i="5"/>
  <c r="O22" i="25"/>
  <c r="P99" i="28"/>
  <c r="O17" i="39"/>
  <c r="P107" i="11"/>
  <c r="O23" i="25"/>
  <c r="P99" i="30"/>
  <c r="P108" i="11"/>
  <c r="O24" i="22"/>
  <c r="P99" i="4"/>
  <c r="I12" i="28"/>
  <c r="I13" i="28" s="1"/>
  <c r="O20" i="7"/>
  <c r="O17" i="7"/>
  <c r="O18" i="9"/>
  <c r="P99" i="11"/>
  <c r="O19" i="11"/>
  <c r="P100" i="22"/>
  <c r="O20" i="11"/>
  <c r="O23" i="9"/>
  <c r="O23" i="4"/>
  <c r="P103" i="23"/>
  <c r="P107" i="10"/>
  <c r="P106" i="11"/>
  <c r="P103" i="22"/>
  <c r="O21" i="23"/>
  <c r="O19" i="25"/>
  <c r="O22" i="22"/>
  <c r="P102" i="23"/>
  <c r="P101" i="5"/>
  <c r="P106" i="4"/>
  <c r="P104" i="23"/>
  <c r="D8" i="23"/>
  <c r="D90" i="23" s="1"/>
  <c r="P101" i="3"/>
  <c r="O20" i="10"/>
  <c r="P99" i="6"/>
  <c r="O18" i="4"/>
  <c r="O21" i="9"/>
  <c r="O18" i="23"/>
  <c r="O21" i="5"/>
  <c r="O22" i="8"/>
  <c r="P103" i="3"/>
  <c r="P104" i="3"/>
  <c r="O20" i="24"/>
  <c r="C77" i="1"/>
  <c r="F99" i="13"/>
  <c r="G99" i="13" s="1"/>
  <c r="O18" i="27"/>
  <c r="F14" i="2"/>
  <c r="E19" i="2" s="1"/>
  <c r="F19" i="2" s="1"/>
  <c r="O18" i="8"/>
  <c r="O19" i="9"/>
  <c r="O43" i="27"/>
  <c r="P102" i="3"/>
  <c r="O31" i="39"/>
  <c r="O35" i="39"/>
  <c r="O45" i="39"/>
  <c r="O67" i="39"/>
  <c r="P101" i="27"/>
  <c r="P106" i="25"/>
  <c r="P99" i="3"/>
  <c r="O17" i="3"/>
  <c r="O17" i="6"/>
  <c r="P101" i="9"/>
  <c r="R12" i="17"/>
  <c r="P103" i="10"/>
  <c r="P99" i="22"/>
  <c r="O21" i="4"/>
  <c r="P108" i="7"/>
  <c r="O28" i="10"/>
  <c r="P102" i="29"/>
  <c r="P102" i="31"/>
  <c r="O37" i="22"/>
  <c r="J94" i="10"/>
  <c r="J95" i="10" s="1"/>
  <c r="J94" i="24"/>
  <c r="J95" i="24" s="1"/>
  <c r="J94" i="40"/>
  <c r="J95" i="40" s="1"/>
  <c r="J94" i="5"/>
  <c r="J95" i="5" s="1"/>
  <c r="J94" i="42"/>
  <c r="J95" i="42" s="1"/>
  <c r="J94" i="37"/>
  <c r="J95" i="37" s="1"/>
  <c r="I12" i="31"/>
  <c r="I13" i="31" s="1"/>
  <c r="I12" i="22"/>
  <c r="I13" i="22" s="1"/>
  <c r="I12" i="8"/>
  <c r="I13" i="8" s="1"/>
  <c r="I12" i="30"/>
  <c r="I13" i="30" s="1"/>
  <c r="I12" i="29"/>
  <c r="I13" i="29" s="1"/>
  <c r="O20" i="22"/>
  <c r="I12" i="27"/>
  <c r="I13" i="27" s="1"/>
  <c r="I12" i="23"/>
  <c r="I13" i="23" s="1"/>
  <c r="I12" i="5"/>
  <c r="I13" i="5" s="1"/>
  <c r="I12" i="11"/>
  <c r="I13" i="11" s="1"/>
  <c r="I12" i="10"/>
  <c r="I13" i="10" s="1"/>
  <c r="I12" i="24"/>
  <c r="I13" i="24" s="1"/>
  <c r="O18" i="5"/>
  <c r="P105" i="7"/>
  <c r="P110" i="10"/>
  <c r="P104" i="24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I12" i="37"/>
  <c r="I13" i="37" s="1"/>
  <c r="O19" i="4"/>
  <c r="P101" i="8"/>
  <c r="P99" i="8"/>
  <c r="O20" i="8"/>
  <c r="P101" i="10"/>
  <c r="O17" i="10"/>
  <c r="O31" i="22"/>
  <c r="O20" i="9"/>
  <c r="O18" i="3"/>
  <c r="O21" i="3"/>
  <c r="P104" i="8"/>
  <c r="O17" i="29"/>
  <c r="O23" i="3"/>
  <c r="O17" i="38"/>
  <c r="O54" i="40"/>
  <c r="O60" i="40"/>
  <c r="O26" i="11"/>
  <c r="O25" i="3"/>
  <c r="O25" i="4"/>
  <c r="P106" i="5"/>
  <c r="O27" i="8"/>
  <c r="O25" i="22"/>
  <c r="O23" i="24"/>
  <c r="P102" i="28"/>
  <c r="O17" i="40"/>
  <c r="P100" i="3"/>
  <c r="P101" i="6"/>
  <c r="O20" i="6"/>
  <c r="O17" i="8"/>
  <c r="O22" i="10"/>
  <c r="O18" i="10"/>
  <c r="T12" i="17"/>
  <c r="O17" i="24"/>
  <c r="P104" i="9"/>
  <c r="P103" i="4"/>
  <c r="P105" i="9"/>
  <c r="O20" i="23"/>
  <c r="P101" i="23"/>
  <c r="O17" i="31"/>
  <c r="O19" i="27"/>
  <c r="P100" i="27"/>
  <c r="P105" i="5"/>
  <c r="P106" i="6"/>
  <c r="P104" i="25"/>
  <c r="O19" i="31"/>
  <c r="O25" i="5"/>
  <c r="P108" i="9"/>
  <c r="O21" i="27"/>
  <c r="O19" i="30"/>
  <c r="P107" i="5"/>
  <c r="P99" i="24"/>
  <c r="F17" i="1"/>
  <c r="P100" i="4"/>
  <c r="O17" i="5"/>
  <c r="P100" i="7"/>
  <c r="O21" i="7"/>
  <c r="P102" i="8"/>
  <c r="O19" i="10"/>
  <c r="O17" i="11"/>
  <c r="O17" i="27"/>
  <c r="O25" i="7"/>
  <c r="O23" i="8"/>
  <c r="O55" i="31"/>
  <c r="O24" i="3"/>
  <c r="O27" i="10"/>
  <c r="O23" i="22"/>
  <c r="O22" i="24"/>
  <c r="C61" i="2"/>
  <c r="C76" i="2"/>
  <c r="J94" i="39"/>
  <c r="J95" i="39" s="1"/>
  <c r="J94" i="41"/>
  <c r="J95" i="41" s="1"/>
  <c r="J94" i="22"/>
  <c r="J95" i="22" s="1"/>
  <c r="F17" i="2"/>
  <c r="J94" i="29"/>
  <c r="J95" i="29" s="1"/>
  <c r="J94" i="23"/>
  <c r="J95" i="23" s="1"/>
  <c r="J94" i="31"/>
  <c r="J95" i="31" s="1"/>
  <c r="F18" i="2"/>
  <c r="T14" i="17"/>
  <c r="E13" i="17"/>
  <c r="O43" i="22"/>
  <c r="O31" i="9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65" i="38"/>
  <c r="O69" i="11"/>
  <c r="O37" i="11"/>
  <c r="O70" i="23"/>
  <c r="O64" i="23"/>
  <c r="O60" i="23"/>
  <c r="O58" i="23"/>
  <c r="O54" i="23"/>
  <c r="O52" i="23"/>
  <c r="O50" i="23"/>
  <c r="O46" i="23"/>
  <c r="O42" i="23"/>
  <c r="O39" i="28"/>
  <c r="O53" i="28"/>
  <c r="O57" i="28"/>
  <c r="O71" i="28"/>
  <c r="O52" i="30"/>
  <c r="O30" i="37"/>
  <c r="O54" i="37"/>
  <c r="O62" i="37"/>
  <c r="O72" i="25"/>
  <c r="O25" i="44"/>
  <c r="O33" i="44"/>
  <c r="O41" i="44"/>
  <c r="O49" i="44"/>
  <c r="O57" i="44"/>
  <c r="O65" i="44"/>
  <c r="O69" i="44"/>
  <c r="O62" i="8"/>
  <c r="O58" i="8"/>
  <c r="O54" i="13"/>
  <c r="O50" i="13"/>
  <c r="O46" i="13"/>
  <c r="F88" i="1"/>
  <c r="F89" i="1" s="1"/>
  <c r="F91" i="1" s="1"/>
  <c r="F92" i="1" s="1"/>
  <c r="F93" i="1" s="1"/>
  <c r="O67" i="29"/>
  <c r="O38" i="38"/>
  <c r="O51" i="42"/>
  <c r="O71" i="22"/>
  <c r="O67" i="22"/>
  <c r="O47" i="30"/>
  <c r="O29" i="5"/>
  <c r="O39" i="6"/>
  <c r="O58" i="9"/>
  <c r="O38" i="9"/>
  <c r="O59" i="22"/>
  <c r="O47" i="22"/>
  <c r="O41" i="22"/>
  <c r="O39" i="22"/>
  <c r="O29" i="22"/>
  <c r="O23" i="30"/>
  <c r="O37" i="31"/>
  <c r="O51" i="31"/>
  <c r="O25" i="39"/>
  <c r="O41" i="39"/>
  <c r="O51" i="39"/>
  <c r="O55" i="39"/>
  <c r="O45" i="40"/>
  <c r="O52" i="44"/>
  <c r="O38" i="5"/>
  <c r="O25" i="27"/>
  <c r="O29" i="27"/>
  <c r="O37" i="27"/>
  <c r="O39" i="27"/>
  <c r="O45" i="27"/>
  <c r="O47" i="27"/>
  <c r="O51" i="27"/>
  <c r="O53" i="27"/>
  <c r="O55" i="27"/>
  <c r="O57" i="27"/>
  <c r="O59" i="27"/>
  <c r="O61" i="27"/>
  <c r="O65" i="27"/>
  <c r="O67" i="27"/>
  <c r="O26" i="29"/>
  <c r="O34" i="29"/>
  <c r="O36" i="29"/>
  <c r="O40" i="29"/>
  <c r="O22" i="37"/>
  <c r="O24" i="37"/>
  <c r="O26" i="37"/>
  <c r="O28" i="37"/>
  <c r="O32" i="37"/>
  <c r="O34" i="37"/>
  <c r="O36" i="37"/>
  <c r="O38" i="37"/>
  <c r="O50" i="37"/>
  <c r="O52" i="37"/>
  <c r="O56" i="37"/>
  <c r="O66" i="37"/>
  <c r="O68" i="37"/>
  <c r="O70" i="37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51" i="45"/>
  <c r="O55" i="45"/>
  <c r="O59" i="45"/>
  <c r="O67" i="45"/>
  <c r="O71" i="45"/>
  <c r="O33" i="41"/>
  <c r="O57" i="41"/>
  <c r="P101" i="31"/>
  <c r="O49" i="42"/>
  <c r="O31" i="38"/>
  <c r="O18" i="38"/>
  <c r="O60" i="37"/>
  <c r="O18" i="37"/>
  <c r="O23" i="31"/>
  <c r="O27" i="31"/>
  <c r="O47" i="31"/>
  <c r="O50" i="29"/>
  <c r="O52" i="29"/>
  <c r="O56" i="29"/>
  <c r="O64" i="29"/>
  <c r="O22" i="27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71" i="24"/>
  <c r="O61" i="24"/>
  <c r="O37" i="24"/>
  <c r="O33" i="23"/>
  <c r="O53" i="9"/>
  <c r="O55" i="7"/>
  <c r="O49" i="7"/>
  <c r="O48" i="5"/>
  <c r="O40" i="5"/>
  <c r="O28" i="5"/>
  <c r="O26" i="5"/>
  <c r="D94" i="6"/>
  <c r="D94" i="13"/>
  <c r="D93" i="3"/>
  <c r="C99" i="3" s="1"/>
  <c r="D94" i="5"/>
  <c r="D94" i="23"/>
  <c r="O62" i="3"/>
  <c r="O34" i="3"/>
  <c r="O71" i="4"/>
  <c r="O55" i="4"/>
  <c r="O67" i="6"/>
  <c r="O47" i="6"/>
  <c r="O69" i="7"/>
  <c r="O65" i="7"/>
  <c r="O57" i="7"/>
  <c r="O51" i="7"/>
  <c r="O45" i="7"/>
  <c r="O39" i="7"/>
  <c r="O31" i="7"/>
  <c r="O25" i="31"/>
  <c r="O35" i="31"/>
  <c r="O41" i="31"/>
  <c r="O59" i="31"/>
  <c r="O67" i="31"/>
  <c r="O69" i="31"/>
  <c r="O71" i="31"/>
  <c r="O72" i="31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N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B18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50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D93" i="29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D94" i="9"/>
  <c r="D93" i="9"/>
  <c r="D94" i="8"/>
  <c r="D93" i="8"/>
  <c r="D93" i="7"/>
  <c r="D94" i="7"/>
  <c r="O18" i="24"/>
  <c r="O19" i="8"/>
  <c r="B28" i="8"/>
  <c r="B26" i="22"/>
  <c r="D13" i="5"/>
  <c r="I14" i="5" s="1"/>
  <c r="O59" i="3"/>
  <c r="O49" i="3"/>
  <c r="O49" i="4"/>
  <c r="O20" i="3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M87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L86" i="45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D26" i="17"/>
  <c r="C45" i="17"/>
  <c r="D40" i="17"/>
  <c r="D48" i="17"/>
  <c r="C39" i="17"/>
  <c r="C47" i="17"/>
  <c r="D47" i="17"/>
  <c r="C26" i="17"/>
  <c r="D43" i="17"/>
  <c r="D46" i="17"/>
  <c r="D45" i="17"/>
  <c r="D44" i="17"/>
  <c r="C30" i="17"/>
  <c r="C19" i="17"/>
  <c r="C36" i="17"/>
  <c r="C46" i="17"/>
  <c r="C27" i="17"/>
  <c r="C33" i="17"/>
  <c r="C18" i="17"/>
  <c r="D20" i="17"/>
  <c r="D36" i="17"/>
  <c r="C35" i="17"/>
  <c r="C28" i="17"/>
  <c r="C20" i="17"/>
  <c r="D19" i="17"/>
  <c r="D29" i="17"/>
  <c r="C48" i="17"/>
  <c r="C44" i="17"/>
  <c r="C32" i="17"/>
  <c r="D32" i="17"/>
  <c r="C29" i="17"/>
  <c r="D37" i="17"/>
  <c r="C38" i="17"/>
  <c r="C23" i="17"/>
  <c r="C37" i="17"/>
  <c r="H17" i="13" l="1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F20" i="1"/>
  <c r="E32" i="1" s="1"/>
  <c r="N87" i="11"/>
  <c r="O87" i="11" s="1"/>
  <c r="D100" i="13"/>
  <c r="B100" i="13" s="1"/>
  <c r="M87" i="10"/>
  <c r="O87" i="10" s="1"/>
  <c r="N87" i="25"/>
  <c r="O87" i="25" s="1"/>
  <c r="L86" i="25"/>
  <c r="F20" i="2"/>
  <c r="E32" i="2" s="1"/>
  <c r="D13" i="27"/>
  <c r="I14" i="27" s="1"/>
  <c r="E19" i="27" s="1"/>
  <c r="M87" i="9"/>
  <c r="O87" i="9" s="1"/>
  <c r="L86" i="10"/>
  <c r="N87" i="37"/>
  <c r="N87" i="4"/>
  <c r="M87" i="28"/>
  <c r="O87" i="28" s="1"/>
  <c r="L86" i="28"/>
  <c r="N87" i="23"/>
  <c r="N87" i="42"/>
  <c r="N87" i="3"/>
  <c r="O87" i="3" s="1"/>
  <c r="M87" i="23"/>
  <c r="D13" i="6"/>
  <c r="I14" i="6" s="1"/>
  <c r="D13" i="40"/>
  <c r="I14" i="40" s="1"/>
  <c r="D13" i="43"/>
  <c r="I14" i="43" s="1"/>
  <c r="D13" i="25"/>
  <c r="I14" i="25" s="1"/>
  <c r="D13" i="42"/>
  <c r="I14" i="42" s="1"/>
  <c r="D13" i="9"/>
  <c r="I14" i="9" s="1"/>
  <c r="D13" i="11"/>
  <c r="I14" i="11" s="1"/>
  <c r="D13" i="3"/>
  <c r="I14" i="3" s="1"/>
  <c r="D13" i="7"/>
  <c r="I14" i="7" s="1"/>
  <c r="D13" i="30"/>
  <c r="I14" i="30" s="1"/>
  <c r="D13" i="44"/>
  <c r="I14" i="44" s="1"/>
  <c r="D13" i="37"/>
  <c r="I14" i="37" s="1"/>
  <c r="D13" i="29"/>
  <c r="I14" i="29" s="1"/>
  <c r="D13" i="23"/>
  <c r="I14" i="23" s="1"/>
  <c r="D13" i="22"/>
  <c r="I14" i="22" s="1"/>
  <c r="D13" i="28"/>
  <c r="I14" i="28" s="1"/>
  <c r="D13" i="4"/>
  <c r="I14" i="4" s="1"/>
  <c r="D13" i="45"/>
  <c r="I14" i="45" s="1"/>
  <c r="D13" i="10"/>
  <c r="I14" i="10" s="1"/>
  <c r="D13" i="38"/>
  <c r="I14" i="38" s="1"/>
  <c r="D13" i="31"/>
  <c r="I14" i="31" s="1"/>
  <c r="D13" i="41"/>
  <c r="I14" i="41" s="1"/>
  <c r="D13" i="24"/>
  <c r="I14" i="24" s="1"/>
  <c r="D13" i="13"/>
  <c r="D13" i="39"/>
  <c r="I14" i="39" s="1"/>
  <c r="D13" i="8"/>
  <c r="I14" i="8" s="1"/>
  <c r="D13" i="46"/>
  <c r="I14" i="46" s="1"/>
  <c r="M87" i="40"/>
  <c r="M87" i="5"/>
  <c r="N87" i="13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O87" i="13" s="1"/>
  <c r="L86" i="44"/>
  <c r="M87" i="7"/>
  <c r="N87" i="5"/>
  <c r="O87" i="5" s="1"/>
  <c r="N87" i="27"/>
  <c r="M87" i="27"/>
  <c r="N87" i="24"/>
  <c r="N87" i="30"/>
  <c r="N87" i="40"/>
  <c r="M87" i="44"/>
  <c r="O87" i="44" s="1"/>
  <c r="N87" i="7"/>
  <c r="M87" i="43"/>
  <c r="O87" i="43" s="1"/>
  <c r="M87" i="24"/>
  <c r="L86" i="43"/>
  <c r="M87" i="30"/>
  <c r="M87" i="39"/>
  <c r="O87" i="39" s="1"/>
  <c r="L86" i="9"/>
  <c r="N87" i="38"/>
  <c r="M87" i="38"/>
  <c r="M87" i="6"/>
  <c r="N87" i="6"/>
  <c r="L86" i="11"/>
  <c r="M87" i="37"/>
  <c r="M87" i="4"/>
  <c r="B19" i="44"/>
  <c r="D18" i="13"/>
  <c r="G17" i="13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M87" i="46"/>
  <c r="N87" i="46"/>
  <c r="L86" i="46"/>
  <c r="O87" i="4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N6" i="46" s="1"/>
  <c r="N5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D42" i="17"/>
  <c r="C40" i="17"/>
  <c r="D30" i="17"/>
  <c r="C21" i="17"/>
  <c r="D18" i="17"/>
  <c r="C25" i="17"/>
  <c r="D22" i="17"/>
  <c r="D24" i="17"/>
  <c r="D23" i="17"/>
  <c r="D34" i="17"/>
  <c r="D38" i="17"/>
  <c r="C42" i="17"/>
  <c r="C34" i="17"/>
  <c r="C31" i="17"/>
  <c r="D21" i="17"/>
  <c r="D33" i="17"/>
  <c r="C41" i="17"/>
  <c r="D25" i="17"/>
  <c r="D27" i="17"/>
  <c r="D41" i="17"/>
  <c r="C43" i="17"/>
  <c r="D39" i="17"/>
  <c r="C24" i="17"/>
  <c r="D35" i="17"/>
  <c r="D31" i="17"/>
  <c r="D28" i="17"/>
  <c r="C22" i="17"/>
  <c r="O87" i="7" l="1"/>
  <c r="I17" i="13"/>
  <c r="E25" i="1"/>
  <c r="E26" i="1" s="1"/>
  <c r="E30" i="1" s="1"/>
  <c r="E33" i="1" s="1"/>
  <c r="E25" i="2"/>
  <c r="E26" i="2" s="1"/>
  <c r="E30" i="2" s="1"/>
  <c r="E33" i="2" s="1"/>
  <c r="E37" i="2" s="1"/>
  <c r="F54" i="2" s="1"/>
  <c r="E100" i="13"/>
  <c r="F100" i="13" s="1"/>
  <c r="D101" i="13" s="1"/>
  <c r="E101" i="13" s="1"/>
  <c r="O87" i="23"/>
  <c r="O87" i="4"/>
  <c r="O87" i="37"/>
  <c r="O87" i="42"/>
  <c r="O87" i="24"/>
  <c r="O87" i="40"/>
  <c r="O87" i="8"/>
  <c r="O87" i="31"/>
  <c r="O87" i="30"/>
  <c r="O87" i="29"/>
  <c r="B100" i="44"/>
  <c r="O87" i="27"/>
  <c r="O87" i="6"/>
  <c r="O87" i="38"/>
  <c r="J99" i="44"/>
  <c r="B19" i="45"/>
  <c r="B18" i="13"/>
  <c r="E18" i="13"/>
  <c r="F18" i="13" s="1"/>
  <c r="D19" i="13" s="1"/>
  <c r="B23" i="27"/>
  <c r="D99" i="7"/>
  <c r="O87" i="46"/>
  <c r="O87" i="45"/>
  <c r="B20" i="37"/>
  <c r="I17" i="46"/>
  <c r="I19" i="37"/>
  <c r="N6" i="37"/>
  <c r="N5" i="37"/>
  <c r="N5" i="10"/>
  <c r="B31" i="10"/>
  <c r="I30" i="10"/>
  <c r="N6" i="10"/>
  <c r="I18" i="44"/>
  <c r="J99" i="13"/>
  <c r="F53" i="1" l="1"/>
  <c r="F101" i="13"/>
  <c r="G101" i="13" s="1"/>
  <c r="I101" i="13" s="1"/>
  <c r="G100" i="13"/>
  <c r="H100" i="13" s="1"/>
  <c r="B101" i="13"/>
  <c r="F53" i="2"/>
  <c r="F55" i="2" s="1"/>
  <c r="F62" i="2" s="1"/>
  <c r="F65" i="2" s="1"/>
  <c r="F67" i="2" s="1"/>
  <c r="F69" i="2" s="1"/>
  <c r="F70" i="2" s="1"/>
  <c r="F71" i="2" s="1"/>
  <c r="F56" i="2" s="1"/>
  <c r="F57" i="2" s="1"/>
  <c r="E37" i="1"/>
  <c r="F54" i="1" s="1"/>
  <c r="I18" i="45"/>
  <c r="G18" i="13"/>
  <c r="H18" i="13"/>
  <c r="I18" i="46"/>
  <c r="E19" i="13"/>
  <c r="F19" i="13" s="1"/>
  <c r="B19" i="13"/>
  <c r="B100" i="45"/>
  <c r="N5" i="27"/>
  <c r="N6" i="44"/>
  <c r="N7" i="10"/>
  <c r="B30" i="9"/>
  <c r="N5" i="9"/>
  <c r="B19" i="46"/>
  <c r="I29" i="9"/>
  <c r="N6" i="9"/>
  <c r="I17" i="45"/>
  <c r="N7" i="37"/>
  <c r="I17" i="44"/>
  <c r="I20" i="37"/>
  <c r="F25" i="17"/>
  <c r="F36" i="17"/>
  <c r="F55" i="1" l="1"/>
  <c r="I100" i="13"/>
  <c r="J100" i="13" s="1"/>
  <c r="D102" i="13"/>
  <c r="B102" i="13" s="1"/>
  <c r="H101" i="13"/>
  <c r="J101" i="13" s="1"/>
  <c r="I18" i="13"/>
  <c r="I19" i="44"/>
  <c r="N5" i="44"/>
  <c r="N7" i="44" s="1"/>
  <c r="B20" i="44"/>
  <c r="I19" i="45"/>
  <c r="G19" i="13"/>
  <c r="D20" i="13"/>
  <c r="H19" i="13"/>
  <c r="J99" i="45"/>
  <c r="I23" i="27"/>
  <c r="N6" i="27"/>
  <c r="N7" i="27" s="1"/>
  <c r="B24" i="27"/>
  <c r="G25" i="17"/>
  <c r="G36" i="17"/>
  <c r="N5" i="41"/>
  <c r="N5" i="7"/>
  <c r="B28" i="5"/>
  <c r="I19" i="38"/>
  <c r="N6" i="38"/>
  <c r="B23" i="31"/>
  <c r="I26" i="25"/>
  <c r="N6" i="25"/>
  <c r="I24" i="24"/>
  <c r="N6" i="24"/>
  <c r="B19" i="4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B22" i="30"/>
  <c r="N5" i="23"/>
  <c r="D20" i="46"/>
  <c r="E20" i="46" s="1"/>
  <c r="N5" i="28"/>
  <c r="I26" i="22"/>
  <c r="N6" i="22"/>
  <c r="N5" i="30"/>
  <c r="N5" i="25"/>
  <c r="B25" i="24"/>
  <c r="I25" i="23"/>
  <c r="N6" i="23"/>
  <c r="N6" i="41"/>
  <c r="I18" i="41"/>
  <c r="N5" i="4"/>
  <c r="N5" i="45"/>
  <c r="N6" i="43"/>
  <c r="I17" i="43"/>
  <c r="I30" i="7"/>
  <c r="N6" i="7"/>
  <c r="N5" i="8"/>
  <c r="N5" i="11"/>
  <c r="B20" i="39"/>
  <c r="N5" i="29"/>
  <c r="N5" i="3"/>
  <c r="B19" i="40"/>
  <c r="B19" i="42"/>
  <c r="B32" i="10"/>
  <c r="N5" i="38"/>
  <c r="N5" i="22"/>
  <c r="N5" i="31"/>
  <c r="B28" i="4"/>
  <c r="B18" i="43"/>
  <c r="B29" i="6"/>
  <c r="B27" i="25"/>
  <c r="N5" i="24"/>
  <c r="B26" i="23"/>
  <c r="I27" i="4"/>
  <c r="N6" i="4"/>
  <c r="N6" i="45"/>
  <c r="B21" i="37"/>
  <c r="B31" i="7"/>
  <c r="N5" i="6"/>
  <c r="B29" i="8"/>
  <c r="B30" i="11"/>
  <c r="N7" i="9"/>
  <c r="N5" i="5"/>
  <c r="F62" i="1"/>
  <c r="F65" i="1" s="1"/>
  <c r="F67" i="1" s="1"/>
  <c r="F69" i="1" s="1"/>
  <c r="F76" i="1"/>
  <c r="F77" i="1" s="1"/>
  <c r="N5" i="39"/>
  <c r="B23" i="29"/>
  <c r="B28" i="3"/>
  <c r="I18" i="40"/>
  <c r="N6" i="40"/>
  <c r="N5" i="42"/>
  <c r="I31" i="10"/>
  <c r="I22" i="28"/>
  <c r="N6" i="28"/>
  <c r="B20" i="38"/>
  <c r="B27" i="22"/>
  <c r="I22" i="31"/>
  <c r="N6" i="31"/>
  <c r="N6" i="30"/>
  <c r="I21" i="30"/>
  <c r="F59" i="2"/>
  <c r="F79" i="2" s="1"/>
  <c r="F80" i="2" s="1"/>
  <c r="F82" i="2" s="1"/>
  <c r="F76" i="2"/>
  <c r="F77" i="2" s="1"/>
  <c r="F24" i="17"/>
  <c r="F31" i="17"/>
  <c r="F43" i="17"/>
  <c r="E102" i="13" l="1"/>
  <c r="F102" i="13" s="1"/>
  <c r="G102" i="13" s="1"/>
  <c r="B20" i="45"/>
  <c r="N7" i="45"/>
  <c r="G43" i="17"/>
  <c r="N7" i="41"/>
  <c r="D21" i="44"/>
  <c r="I19" i="13"/>
  <c r="E20" i="13"/>
  <c r="F20" i="13" s="1"/>
  <c r="B20" i="13"/>
  <c r="G31" i="17"/>
  <c r="I18" i="43"/>
  <c r="I20" i="38"/>
  <c r="I20" i="39"/>
  <c r="N7" i="23"/>
  <c r="N7" i="4"/>
  <c r="N7" i="31"/>
  <c r="N7" i="40"/>
  <c r="N7" i="30"/>
  <c r="N7" i="7"/>
  <c r="N7" i="29"/>
  <c r="N7" i="25"/>
  <c r="G24" i="17"/>
  <c r="F70" i="1"/>
  <c r="F71" i="1" s="1"/>
  <c r="F56" i="1" s="1"/>
  <c r="F57" i="1" s="1"/>
  <c r="F59" i="1" s="1"/>
  <c r="F79" i="1" s="1"/>
  <c r="F80" i="1" s="1"/>
  <c r="F82" i="1" s="1"/>
  <c r="I19" i="46"/>
  <c r="N7" i="46"/>
  <c r="N7" i="3"/>
  <c r="N7" i="24"/>
  <c r="N7" i="38"/>
  <c r="N7" i="22"/>
  <c r="N7" i="5"/>
  <c r="N7" i="11"/>
  <c r="N7" i="8"/>
  <c r="N7" i="6"/>
  <c r="B31" i="9"/>
  <c r="N7" i="42"/>
  <c r="N7" i="28"/>
  <c r="I30" i="9"/>
  <c r="N7" i="43"/>
  <c r="F20" i="46"/>
  <c r="H20" i="46" s="1"/>
  <c r="B20" i="46"/>
  <c r="N7" i="39"/>
  <c r="F35" i="17"/>
  <c r="F27" i="17"/>
  <c r="F23" i="17"/>
  <c r="F37" i="17"/>
  <c r="F21" i="17"/>
  <c r="F20" i="17"/>
  <c r="F30" i="17"/>
  <c r="F32" i="17"/>
  <c r="F22" i="17"/>
  <c r="F41" i="17"/>
  <c r="F19" i="17"/>
  <c r="F44" i="17"/>
  <c r="F28" i="17"/>
  <c r="F42" i="17"/>
  <c r="F29" i="17"/>
  <c r="F45" i="17"/>
  <c r="F39" i="17"/>
  <c r="F40" i="17"/>
  <c r="F33" i="17"/>
  <c r="F26" i="17"/>
  <c r="F34" i="17"/>
  <c r="F38" i="17"/>
  <c r="F18" i="17"/>
  <c r="D103" i="13" l="1"/>
  <c r="E103" i="13" s="1"/>
  <c r="F103" i="13" s="1"/>
  <c r="D21" i="45"/>
  <c r="E21" i="45" s="1"/>
  <c r="F21" i="45" s="1"/>
  <c r="G21" i="45" s="1"/>
  <c r="I20" i="45"/>
  <c r="G45" i="17"/>
  <c r="F50" i="17"/>
  <c r="G44" i="17"/>
  <c r="G42" i="17"/>
  <c r="G40" i="17"/>
  <c r="I20" i="44"/>
  <c r="E21" i="44"/>
  <c r="F21" i="44" s="1"/>
  <c r="B21" i="44"/>
  <c r="G20" i="46"/>
  <c r="I20" i="46" s="1"/>
  <c r="D21" i="13"/>
  <c r="H20" i="13"/>
  <c r="G20" i="13"/>
  <c r="B25" i="27"/>
  <c r="I24" i="27"/>
  <c r="G28" i="17"/>
  <c r="G34" i="17"/>
  <c r="G39" i="17"/>
  <c r="G35" i="17"/>
  <c r="G22" i="17"/>
  <c r="G19" i="17"/>
  <c r="G30" i="17"/>
  <c r="G33" i="17"/>
  <c r="G41" i="17"/>
  <c r="G23" i="17"/>
  <c r="G29" i="17"/>
  <c r="G21" i="17"/>
  <c r="G38" i="17"/>
  <c r="G26" i="17"/>
  <c r="G27" i="17"/>
  <c r="G18" i="17"/>
  <c r="G32" i="17"/>
  <c r="G20" i="17"/>
  <c r="G37" i="17"/>
  <c r="B20" i="41"/>
  <c r="B24" i="29"/>
  <c r="I31" i="7"/>
  <c r="I29" i="8"/>
  <c r="B29" i="5"/>
  <c r="B33" i="10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B24" i="31"/>
  <c r="B21" i="39"/>
  <c r="B27" i="23"/>
  <c r="B23" i="30"/>
  <c r="B20" i="42"/>
  <c r="B29" i="4"/>
  <c r="B32" i="7"/>
  <c r="B22" i="37"/>
  <c r="I28" i="5"/>
  <c r="D21" i="46"/>
  <c r="E21" i="46" s="1"/>
  <c r="I32" i="10"/>
  <c r="B28" i="25"/>
  <c r="B31" i="11"/>
  <c r="B20" i="40"/>
  <c r="I29" i="6"/>
  <c r="I23" i="29"/>
  <c r="B24" i="28"/>
  <c r="B29" i="3"/>
  <c r="B21" i="38"/>
  <c r="I27" i="22"/>
  <c r="I19" i="40"/>
  <c r="I21" i="37"/>
  <c r="I102" i="13"/>
  <c r="H102" i="13"/>
  <c r="B103" i="13" l="1"/>
  <c r="B21" i="45"/>
  <c r="G50" i="17"/>
  <c r="H21" i="44"/>
  <c r="D22" i="44"/>
  <c r="G21" i="44"/>
  <c r="I20" i="13"/>
  <c r="E21" i="13"/>
  <c r="F21" i="13" s="1"/>
  <c r="G21" i="13" s="1"/>
  <c r="B21" i="13"/>
  <c r="I20" i="42"/>
  <c r="I20" i="40"/>
  <c r="I20" i="41"/>
  <c r="F21" i="46"/>
  <c r="H21" i="46" s="1"/>
  <c r="B21" i="46"/>
  <c r="B32" i="9"/>
  <c r="D34" i="10"/>
  <c r="E34" i="10"/>
  <c r="E23" i="37"/>
  <c r="D23" i="37"/>
  <c r="D22" i="45"/>
  <c r="E22" i="45" s="1"/>
  <c r="I22" i="37"/>
  <c r="I31" i="9"/>
  <c r="H21" i="45"/>
  <c r="G103" i="13"/>
  <c r="D104" i="13"/>
  <c r="E104" i="13" s="1"/>
  <c r="J102" i="13"/>
  <c r="E22" i="44" l="1"/>
  <c r="F22" i="44" s="1"/>
  <c r="B22" i="44"/>
  <c r="I21" i="44"/>
  <c r="H21" i="13"/>
  <c r="D22" i="13"/>
  <c r="I25" i="27"/>
  <c r="B26" i="27"/>
  <c r="B31" i="6"/>
  <c r="B25" i="31"/>
  <c r="B25" i="28"/>
  <c r="I21" i="45"/>
  <c r="I30" i="6"/>
  <c r="I28" i="22"/>
  <c r="I24" i="31"/>
  <c r="I29" i="4"/>
  <c r="B30" i="3"/>
  <c r="I30" i="8"/>
  <c r="B22" i="39"/>
  <c r="F23" i="37"/>
  <c r="H23" i="37" s="1"/>
  <c r="B23" i="37"/>
  <c r="D33" i="9"/>
  <c r="E33" i="9"/>
  <c r="B30" i="4"/>
  <c r="I28" i="25"/>
  <c r="B21" i="40"/>
  <c r="B22" i="45"/>
  <c r="F22" i="45"/>
  <c r="H22" i="45" s="1"/>
  <c r="B24" i="30"/>
  <c r="B21" i="41"/>
  <c r="F34" i="10"/>
  <c r="H34" i="10" s="1"/>
  <c r="B34" i="10"/>
  <c r="B27" i="24"/>
  <c r="I21" i="39"/>
  <c r="B28" i="23"/>
  <c r="B21" i="42"/>
  <c r="I24" i="29"/>
  <c r="I31" i="11"/>
  <c r="B22" i="38"/>
  <c r="B29" i="22"/>
  <c r="B33" i="7"/>
  <c r="I21" i="38"/>
  <c r="I27" i="23"/>
  <c r="D22" i="46"/>
  <c r="B25" i="29"/>
  <c r="I19" i="43"/>
  <c r="B32" i="11"/>
  <c r="I29" i="5"/>
  <c r="B30" i="5"/>
  <c r="I32" i="7"/>
  <c r="B29" i="25"/>
  <c r="I23" i="30"/>
  <c r="I33" i="10"/>
  <c r="I26" i="24"/>
  <c r="B20" i="43"/>
  <c r="G21" i="46"/>
  <c r="I21" i="46" s="1"/>
  <c r="I24" i="28"/>
  <c r="I29" i="3"/>
  <c r="B31" i="8"/>
  <c r="I103" i="13"/>
  <c r="H103" i="13"/>
  <c r="F104" i="13"/>
  <c r="B104" i="13"/>
  <c r="I21" i="13" l="1"/>
  <c r="G34" i="10"/>
  <c r="G22" i="44"/>
  <c r="D23" i="44"/>
  <c r="H22" i="44"/>
  <c r="B22" i="13"/>
  <c r="E22" i="13"/>
  <c r="F22" i="13" s="1"/>
  <c r="I22" i="39"/>
  <c r="I21" i="41"/>
  <c r="I22" i="38"/>
  <c r="I20" i="43"/>
  <c r="I21" i="42"/>
  <c r="I21" i="40"/>
  <c r="D27" i="27"/>
  <c r="E27" i="27"/>
  <c r="D26" i="29"/>
  <c r="E26" i="29"/>
  <c r="D30" i="22"/>
  <c r="E30" i="22"/>
  <c r="F33" i="9"/>
  <c r="H33" i="9" s="1"/>
  <c r="B33" i="9"/>
  <c r="D26" i="28"/>
  <c r="E26" i="28"/>
  <c r="G22" i="45"/>
  <c r="I22" i="45" s="1"/>
  <c r="I32" i="9"/>
  <c r="D24" i="37"/>
  <c r="E24" i="37"/>
  <c r="D23" i="39"/>
  <c r="E23" i="39"/>
  <c r="D26" i="31"/>
  <c r="E26" i="31"/>
  <c r="D32" i="6"/>
  <c r="E32" i="6"/>
  <c r="D33" i="11"/>
  <c r="E33" i="11"/>
  <c r="B22" i="46"/>
  <c r="D31" i="4"/>
  <c r="E31" i="4"/>
  <c r="D31" i="3"/>
  <c r="E31" i="3"/>
  <c r="D34" i="7"/>
  <c r="E34" i="7"/>
  <c r="E35" i="10"/>
  <c r="D35" i="10"/>
  <c r="D22" i="41"/>
  <c r="E22" i="41"/>
  <c r="D22" i="40"/>
  <c r="E22" i="40"/>
  <c r="G23" i="37"/>
  <c r="I23" i="37" s="1"/>
  <c r="D31" i="5"/>
  <c r="E31" i="5"/>
  <c r="D28" i="24"/>
  <c r="E28" i="24"/>
  <c r="D32" i="8"/>
  <c r="E32" i="8"/>
  <c r="D30" i="25"/>
  <c r="E30" i="25"/>
  <c r="E22" i="46"/>
  <c r="F22" i="46" s="1"/>
  <c r="D23" i="38"/>
  <c r="E23" i="38"/>
  <c r="D22" i="42"/>
  <c r="E22" i="42"/>
  <c r="D29" i="23"/>
  <c r="E29" i="23"/>
  <c r="D25" i="30"/>
  <c r="E25" i="30"/>
  <c r="D23" i="45"/>
  <c r="E23" i="45" s="1"/>
  <c r="J103" i="13"/>
  <c r="G104" i="13"/>
  <c r="D105" i="13"/>
  <c r="E105" i="13" s="1"/>
  <c r="G33" i="9" l="1"/>
  <c r="I22" i="44"/>
  <c r="E23" i="44"/>
  <c r="F23" i="44" s="1"/>
  <c r="B23" i="44"/>
  <c r="G22" i="13"/>
  <c r="N5" i="13" s="1"/>
  <c r="H22" i="13"/>
  <c r="N6" i="13" s="1"/>
  <c r="D23" i="13"/>
  <c r="B23" i="13" s="1"/>
  <c r="I26" i="27"/>
  <c r="B27" i="27"/>
  <c r="F27" i="27"/>
  <c r="H27" i="27" s="1"/>
  <c r="D23" i="46"/>
  <c r="E23" i="46" s="1"/>
  <c r="G22" i="46"/>
  <c r="H22" i="46"/>
  <c r="B28" i="24"/>
  <c r="F28" i="24"/>
  <c r="H28" i="24" s="1"/>
  <c r="I32" i="11"/>
  <c r="B26" i="29"/>
  <c r="F26" i="29"/>
  <c r="H26" i="29" s="1"/>
  <c r="B22" i="42"/>
  <c r="F22" i="42"/>
  <c r="H22" i="42" s="1"/>
  <c r="B30" i="25"/>
  <c r="F30" i="25"/>
  <c r="H30" i="25" s="1"/>
  <c r="B32" i="8"/>
  <c r="F32" i="8"/>
  <c r="H32" i="8" s="1"/>
  <c r="B22" i="40"/>
  <c r="F22" i="40"/>
  <c r="H22" i="40" s="1"/>
  <c r="B35" i="10"/>
  <c r="F35" i="10"/>
  <c r="H35" i="10" s="1"/>
  <c r="B21" i="43"/>
  <c r="B32" i="6"/>
  <c r="F32" i="6"/>
  <c r="H32" i="6" s="1"/>
  <c r="B24" i="37"/>
  <c r="F24" i="37"/>
  <c r="G24" i="37" s="1"/>
  <c r="F26" i="28"/>
  <c r="G26" i="28" s="1"/>
  <c r="B26" i="28"/>
  <c r="D34" i="9"/>
  <c r="E34" i="9"/>
  <c r="F25" i="30"/>
  <c r="H25" i="30" s="1"/>
  <c r="B25" i="30"/>
  <c r="I28" i="23"/>
  <c r="B23" i="38"/>
  <c r="F23" i="38"/>
  <c r="G23" i="38" s="1"/>
  <c r="F31" i="5"/>
  <c r="H31" i="5" s="1"/>
  <c r="B31" i="5"/>
  <c r="I34" i="10"/>
  <c r="I30" i="4"/>
  <c r="F33" i="11"/>
  <c r="H33" i="11" s="1"/>
  <c r="B33" i="11"/>
  <c r="I31" i="6"/>
  <c r="B26" i="31"/>
  <c r="F26" i="31"/>
  <c r="G26" i="31" s="1"/>
  <c r="F23" i="39"/>
  <c r="B23" i="39"/>
  <c r="I29" i="22"/>
  <c r="I31" i="8"/>
  <c r="I33" i="7"/>
  <c r="B31" i="3"/>
  <c r="F31" i="3"/>
  <c r="H31" i="3" s="1"/>
  <c r="I25" i="31"/>
  <c r="F30" i="22"/>
  <c r="H30" i="22" s="1"/>
  <c r="B30" i="22"/>
  <c r="F23" i="45"/>
  <c r="H23" i="45" s="1"/>
  <c r="B23" i="45"/>
  <c r="I24" i="30"/>
  <c r="B29" i="23"/>
  <c r="F29" i="23"/>
  <c r="G29" i="23" s="1"/>
  <c r="I29" i="25"/>
  <c r="I27" i="24"/>
  <c r="I30" i="5"/>
  <c r="B22" i="41"/>
  <c r="F22" i="41"/>
  <c r="B34" i="7"/>
  <c r="F34" i="7"/>
  <c r="H34" i="7" s="1"/>
  <c r="I30" i="3"/>
  <c r="F31" i="4"/>
  <c r="H31" i="4" s="1"/>
  <c r="B31" i="4"/>
  <c r="I25" i="28"/>
  <c r="I25" i="29"/>
  <c r="H104" i="13"/>
  <c r="I104" i="13"/>
  <c r="B105" i="13"/>
  <c r="F105" i="13"/>
  <c r="N7" i="13" l="1"/>
  <c r="E23" i="13"/>
  <c r="F23" i="13" s="1"/>
  <c r="H23" i="13" s="1"/>
  <c r="H26" i="31"/>
  <c r="G25" i="30"/>
  <c r="G26" i="29"/>
  <c r="H26" i="28"/>
  <c r="G27" i="27"/>
  <c r="G30" i="25"/>
  <c r="G28" i="24"/>
  <c r="H29" i="23"/>
  <c r="G30" i="22"/>
  <c r="G33" i="11"/>
  <c r="G35" i="10"/>
  <c r="G32" i="8"/>
  <c r="G34" i="7"/>
  <c r="G32" i="6"/>
  <c r="G31" i="5"/>
  <c r="G31" i="4"/>
  <c r="G31" i="3"/>
  <c r="I22" i="46"/>
  <c r="I21" i="43"/>
  <c r="H23" i="44"/>
  <c r="D24" i="44"/>
  <c r="G23" i="44"/>
  <c r="H23" i="38"/>
  <c r="I23" i="38" s="1"/>
  <c r="I22" i="13"/>
  <c r="G22" i="42"/>
  <c r="I22" i="42" s="1"/>
  <c r="H24" i="37"/>
  <c r="I24" i="37" s="1"/>
  <c r="D28" i="27"/>
  <c r="E28" i="27"/>
  <c r="D24" i="39"/>
  <c r="E24" i="39"/>
  <c r="D35" i="7"/>
  <c r="E35" i="7"/>
  <c r="D30" i="23"/>
  <c r="E30" i="23"/>
  <c r="D32" i="3"/>
  <c r="E32" i="3"/>
  <c r="G23" i="39"/>
  <c r="D27" i="31"/>
  <c r="E27" i="31"/>
  <c r="D24" i="38"/>
  <c r="E24" i="38"/>
  <c r="D33" i="6"/>
  <c r="E33" i="6"/>
  <c r="D22" i="43"/>
  <c r="E22" i="43"/>
  <c r="G22" i="40"/>
  <c r="I22" i="40" s="1"/>
  <c r="D33" i="8"/>
  <c r="E33" i="8"/>
  <c r="D23" i="42"/>
  <c r="E23" i="42"/>
  <c r="D27" i="29"/>
  <c r="E27" i="29"/>
  <c r="D29" i="24"/>
  <c r="E29" i="24"/>
  <c r="D23" i="41"/>
  <c r="E23" i="41"/>
  <c r="D24" i="45"/>
  <c r="F34" i="9"/>
  <c r="H34" i="9" s="1"/>
  <c r="B34" i="9"/>
  <c r="D32" i="4"/>
  <c r="E32" i="4"/>
  <c r="H22" i="41"/>
  <c r="G23" i="45"/>
  <c r="I23" i="45" s="1"/>
  <c r="D31" i="22"/>
  <c r="E31" i="22"/>
  <c r="D34" i="11"/>
  <c r="E34" i="11"/>
  <c r="D32" i="5"/>
  <c r="E32" i="5"/>
  <c r="D26" i="30"/>
  <c r="E26" i="30"/>
  <c r="D27" i="28"/>
  <c r="E27" i="28"/>
  <c r="D25" i="37"/>
  <c r="E25" i="37"/>
  <c r="F23" i="46"/>
  <c r="G23" i="46" s="1"/>
  <c r="B23" i="46"/>
  <c r="G22" i="41"/>
  <c r="H23" i="39"/>
  <c r="I33" i="9"/>
  <c r="D36" i="10"/>
  <c r="E36" i="10"/>
  <c r="D23" i="40"/>
  <c r="E23" i="40"/>
  <c r="D31" i="25"/>
  <c r="E31" i="25"/>
  <c r="J104" i="13"/>
  <c r="G105" i="13"/>
  <c r="D106" i="13"/>
  <c r="E106" i="13" s="1"/>
  <c r="G23" i="13" l="1"/>
  <c r="I23" i="13" s="1"/>
  <c r="D24" i="13"/>
  <c r="G34" i="9"/>
  <c r="I27" i="27"/>
  <c r="E24" i="44"/>
  <c r="F24" i="44" s="1"/>
  <c r="B24" i="44"/>
  <c r="I23" i="44"/>
  <c r="F28" i="27"/>
  <c r="G28" i="27" s="1"/>
  <c r="B28" i="27"/>
  <c r="I23" i="39"/>
  <c r="B27" i="28"/>
  <c r="F27" i="28"/>
  <c r="H27" i="28" s="1"/>
  <c r="E35" i="9"/>
  <c r="D35" i="9"/>
  <c r="B23" i="41"/>
  <c r="F23" i="41"/>
  <c r="G23" i="41" s="1"/>
  <c r="I32" i="6"/>
  <c r="F35" i="7"/>
  <c r="G35" i="7" s="1"/>
  <c r="B35" i="7"/>
  <c r="B36" i="10"/>
  <c r="F36" i="10"/>
  <c r="H36" i="10" s="1"/>
  <c r="B25" i="37"/>
  <c r="F25" i="37"/>
  <c r="H25" i="37" s="1"/>
  <c r="B34" i="11"/>
  <c r="F34" i="11"/>
  <c r="H34" i="11" s="1"/>
  <c r="F31" i="22"/>
  <c r="G31" i="22" s="1"/>
  <c r="B31" i="22"/>
  <c r="B24" i="45"/>
  <c r="F33" i="8"/>
  <c r="H33" i="8" s="1"/>
  <c r="B33" i="8"/>
  <c r="B22" i="43"/>
  <c r="F22" i="43"/>
  <c r="H22" i="43" s="1"/>
  <c r="I26" i="31"/>
  <c r="B31" i="25"/>
  <c r="F31" i="25"/>
  <c r="G31" i="25" s="1"/>
  <c r="F32" i="5"/>
  <c r="H32" i="5" s="1"/>
  <c r="B32" i="5"/>
  <c r="I30" i="25"/>
  <c r="B32" i="4"/>
  <c r="F32" i="4"/>
  <c r="H32" i="4" s="1"/>
  <c r="E24" i="45"/>
  <c r="F24" i="45" s="1"/>
  <c r="I28" i="24"/>
  <c r="F27" i="29"/>
  <c r="H27" i="29" s="1"/>
  <c r="B27" i="29"/>
  <c r="B23" i="42"/>
  <c r="F23" i="42"/>
  <c r="I32" i="8"/>
  <c r="F32" i="3"/>
  <c r="H32" i="3" s="1"/>
  <c r="B32" i="3"/>
  <c r="B30" i="23"/>
  <c r="F30" i="23"/>
  <c r="H30" i="23" s="1"/>
  <c r="I34" i="7"/>
  <c r="B24" i="39"/>
  <c r="F24" i="39"/>
  <c r="G24" i="39" s="1"/>
  <c r="D24" i="46"/>
  <c r="E24" i="46" s="1"/>
  <c r="F26" i="30"/>
  <c r="H26" i="30" s="1"/>
  <c r="B26" i="30"/>
  <c r="B29" i="24"/>
  <c r="F29" i="24"/>
  <c r="G29" i="24" s="1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H33" i="6" s="1"/>
  <c r="B24" i="38"/>
  <c r="F24" i="38"/>
  <c r="H24" i="38" s="1"/>
  <c r="F27" i="31"/>
  <c r="H27" i="31" s="1"/>
  <c r="B27" i="31"/>
  <c r="I31" i="3"/>
  <c r="I29" i="23"/>
  <c r="I105" i="13"/>
  <c r="H105" i="13"/>
  <c r="B106" i="13"/>
  <c r="F106" i="13"/>
  <c r="B24" i="13" l="1"/>
  <c r="E24" i="13"/>
  <c r="F24" i="13" s="1"/>
  <c r="H24" i="13" s="1"/>
  <c r="H23" i="41"/>
  <c r="I23" i="41" s="1"/>
  <c r="G27" i="31"/>
  <c r="G26" i="30"/>
  <c r="G27" i="29"/>
  <c r="G27" i="28"/>
  <c r="H28" i="27"/>
  <c r="H31" i="25"/>
  <c r="H29" i="24"/>
  <c r="G30" i="23"/>
  <c r="H31" i="22"/>
  <c r="I31" i="22" s="1"/>
  <c r="G34" i="11"/>
  <c r="G36" i="10"/>
  <c r="G33" i="8"/>
  <c r="H35" i="7"/>
  <c r="G33" i="6"/>
  <c r="G32" i="5"/>
  <c r="G32" i="4"/>
  <c r="G32" i="3"/>
  <c r="G24" i="44"/>
  <c r="H24" i="44"/>
  <c r="D25" i="44"/>
  <c r="G25" i="37"/>
  <c r="I25" i="37" s="1"/>
  <c r="E29" i="27"/>
  <c r="D29" i="27"/>
  <c r="D25" i="45"/>
  <c r="G24" i="45"/>
  <c r="H24" i="45"/>
  <c r="D33" i="5"/>
  <c r="E33" i="5"/>
  <c r="D32" i="22"/>
  <c r="E32" i="22"/>
  <c r="D24" i="40"/>
  <c r="E24" i="40"/>
  <c r="D25" i="39"/>
  <c r="E25" i="39"/>
  <c r="D24" i="42"/>
  <c r="E24" i="42"/>
  <c r="D32" i="25"/>
  <c r="E32" i="25"/>
  <c r="D35" i="11"/>
  <c r="E35" i="11"/>
  <c r="I34" i="9"/>
  <c r="D28" i="28"/>
  <c r="E28" i="28"/>
  <c r="D28" i="31"/>
  <c r="E28" i="31"/>
  <c r="D25" i="38"/>
  <c r="E25" i="38"/>
  <c r="D34" i="6"/>
  <c r="E34" i="6"/>
  <c r="D27" i="30"/>
  <c r="E27" i="30"/>
  <c r="H24" i="39"/>
  <c r="D33" i="3"/>
  <c r="E33" i="3"/>
  <c r="G23" i="42"/>
  <c r="D28" i="29"/>
  <c r="E28" i="29"/>
  <c r="D23" i="43"/>
  <c r="E23" i="43"/>
  <c r="D34" i="8"/>
  <c r="E34" i="8"/>
  <c r="D36" i="7"/>
  <c r="E36" i="7"/>
  <c r="B35" i="9"/>
  <c r="F35" i="9"/>
  <c r="H35" i="9" s="1"/>
  <c r="G24" i="38"/>
  <c r="I24" i="38" s="1"/>
  <c r="G23" i="40"/>
  <c r="I23" i="40" s="1"/>
  <c r="D30" i="24"/>
  <c r="E30" i="24"/>
  <c r="B24" i="46"/>
  <c r="F24" i="46"/>
  <c r="G24" i="46" s="1"/>
  <c r="D31" i="23"/>
  <c r="E31" i="23"/>
  <c r="H23" i="42"/>
  <c r="D33" i="4"/>
  <c r="E33" i="4"/>
  <c r="G22" i="43"/>
  <c r="I22" i="43" s="1"/>
  <c r="D26" i="37"/>
  <c r="E26" i="37"/>
  <c r="E37" i="10"/>
  <c r="D37" i="10"/>
  <c r="D24" i="41"/>
  <c r="E24" i="41"/>
  <c r="D107" i="13"/>
  <c r="E107" i="13" s="1"/>
  <c r="G106" i="13"/>
  <c r="J105" i="13"/>
  <c r="D25" i="13" l="1"/>
  <c r="G24" i="13"/>
  <c r="I24" i="13" s="1"/>
  <c r="I24" i="44"/>
  <c r="G35" i="9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H29" i="27" s="1"/>
  <c r="B29" i="27"/>
  <c r="B33" i="3"/>
  <c r="F33" i="3"/>
  <c r="H33" i="3" s="1"/>
  <c r="F28" i="28"/>
  <c r="G28" i="28" s="1"/>
  <c r="B28" i="28"/>
  <c r="B31" i="23"/>
  <c r="F31" i="23"/>
  <c r="H31" i="23" s="1"/>
  <c r="B30" i="24"/>
  <c r="F30" i="24"/>
  <c r="H30" i="24" s="1"/>
  <c r="F34" i="8"/>
  <c r="H34" i="8" s="1"/>
  <c r="B34" i="8"/>
  <c r="I24" i="39"/>
  <c r="B34" i="6"/>
  <c r="F34" i="6"/>
  <c r="H34" i="6" s="1"/>
  <c r="B28" i="31"/>
  <c r="F28" i="31"/>
  <c r="G28" i="31" s="1"/>
  <c r="B32" i="25"/>
  <c r="F32" i="25"/>
  <c r="H32" i="25" s="1"/>
  <c r="F24" i="42"/>
  <c r="G24" i="42" s="1"/>
  <c r="B24" i="42"/>
  <c r="F24" i="40"/>
  <c r="H24" i="40" s="1"/>
  <c r="B24" i="40"/>
  <c r="F27" i="30"/>
  <c r="H27" i="30" s="1"/>
  <c r="B27" i="30"/>
  <c r="B24" i="41"/>
  <c r="F24" i="41"/>
  <c r="I23" i="42"/>
  <c r="B28" i="29"/>
  <c r="F28" i="29"/>
  <c r="H28" i="29" s="1"/>
  <c r="I32" i="3"/>
  <c r="I27" i="31"/>
  <c r="B35" i="11"/>
  <c r="F35" i="11"/>
  <c r="G35" i="11" s="1"/>
  <c r="B25" i="45"/>
  <c r="F33" i="4"/>
  <c r="G33" i="4" s="1"/>
  <c r="B33" i="4"/>
  <c r="D25" i="46"/>
  <c r="E25" i="46" s="1"/>
  <c r="F37" i="10"/>
  <c r="G37" i="10" s="1"/>
  <c r="B37" i="10"/>
  <c r="F26" i="37"/>
  <c r="B26" i="37"/>
  <c r="I30" i="23"/>
  <c r="H24" i="46"/>
  <c r="I24" i="46" s="1"/>
  <c r="E36" i="9"/>
  <c r="D36" i="9"/>
  <c r="B36" i="7"/>
  <c r="F36" i="7"/>
  <c r="H36" i="7" s="1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H32" i="22" s="1"/>
  <c r="B32" i="22"/>
  <c r="B33" i="5"/>
  <c r="F33" i="5"/>
  <c r="H33" i="5" s="1"/>
  <c r="E25" i="45"/>
  <c r="F25" i="45" s="1"/>
  <c r="H106" i="13"/>
  <c r="M88" i="13" s="1"/>
  <c r="M89" i="13" s="1"/>
  <c r="I106" i="13"/>
  <c r="N88" i="13" s="1"/>
  <c r="F107" i="13"/>
  <c r="B107" i="13"/>
  <c r="O88" i="13" l="1"/>
  <c r="O89" i="13" s="1"/>
  <c r="N89" i="13"/>
  <c r="B25" i="13"/>
  <c r="E25" i="13"/>
  <c r="F25" i="13" s="1"/>
  <c r="H28" i="31"/>
  <c r="G27" i="30"/>
  <c r="G28" i="29"/>
  <c r="H28" i="28"/>
  <c r="G29" i="27"/>
  <c r="G32" i="25"/>
  <c r="G30" i="24"/>
  <c r="G31" i="23"/>
  <c r="G32" i="22"/>
  <c r="H35" i="11"/>
  <c r="H37" i="10"/>
  <c r="G34" i="8"/>
  <c r="G36" i="7"/>
  <c r="G34" i="6"/>
  <c r="G33" i="5"/>
  <c r="H33" i="4"/>
  <c r="G33" i="3"/>
  <c r="D26" i="44"/>
  <c r="H25" i="44"/>
  <c r="G25" i="44"/>
  <c r="G24" i="40"/>
  <c r="I24" i="40" s="1"/>
  <c r="H24" i="42"/>
  <c r="I24" i="42" s="1"/>
  <c r="E30" i="27"/>
  <c r="D30" i="27"/>
  <c r="D26" i="45"/>
  <c r="E26" i="45" s="1"/>
  <c r="H25" i="45"/>
  <c r="G25" i="45"/>
  <c r="D24" i="43"/>
  <c r="E24" i="43"/>
  <c r="D27" i="37"/>
  <c r="E27" i="37"/>
  <c r="D34" i="4"/>
  <c r="E34" i="4"/>
  <c r="D29" i="31"/>
  <c r="E29" i="31"/>
  <c r="D31" i="24"/>
  <c r="E31" i="24"/>
  <c r="D33" i="22"/>
  <c r="E33" i="22"/>
  <c r="D26" i="39"/>
  <c r="E26" i="39"/>
  <c r="D26" i="38"/>
  <c r="E26" i="38"/>
  <c r="H23" i="43"/>
  <c r="D37" i="7"/>
  <c r="E37" i="7"/>
  <c r="B36" i="9"/>
  <c r="F36" i="9"/>
  <c r="H36" i="9" s="1"/>
  <c r="H26" i="37"/>
  <c r="D36" i="11"/>
  <c r="E36" i="11"/>
  <c r="D29" i="29"/>
  <c r="E29" i="29"/>
  <c r="D28" i="30"/>
  <c r="E28" i="30"/>
  <c r="D25" i="42"/>
  <c r="E25" i="42"/>
  <c r="D29" i="28"/>
  <c r="E29" i="28"/>
  <c r="D25" i="41"/>
  <c r="E25" i="41"/>
  <c r="D34" i="5"/>
  <c r="E34" i="5"/>
  <c r="G25" i="39"/>
  <c r="I25" i="39" s="1"/>
  <c r="H25" i="38"/>
  <c r="I25" i="38" s="1"/>
  <c r="E38" i="10"/>
  <c r="D38" i="10"/>
  <c r="F25" i="46"/>
  <c r="G25" i="46" s="1"/>
  <c r="B25" i="46"/>
  <c r="H24" i="41"/>
  <c r="D25" i="40"/>
  <c r="E25" i="40"/>
  <c r="D35" i="6"/>
  <c r="E35" i="6"/>
  <c r="D32" i="23"/>
  <c r="E32" i="23"/>
  <c r="D34" i="3"/>
  <c r="E34" i="3"/>
  <c r="G23" i="43"/>
  <c r="I35" i="9"/>
  <c r="G26" i="37"/>
  <c r="G24" i="41"/>
  <c r="D33" i="25"/>
  <c r="E33" i="25"/>
  <c r="D35" i="8"/>
  <c r="E35" i="8"/>
  <c r="J106" i="13"/>
  <c r="G107" i="13"/>
  <c r="D108" i="13"/>
  <c r="E108" i="13" s="1"/>
  <c r="D26" i="13" l="1"/>
  <c r="H25" i="13"/>
  <c r="G25" i="13"/>
  <c r="G36" i="9"/>
  <c r="I36" i="7"/>
  <c r="I25" i="44"/>
  <c r="E26" i="44"/>
  <c r="F26" i="44" s="1"/>
  <c r="B26" i="44"/>
  <c r="I29" i="27"/>
  <c r="I28" i="31"/>
  <c r="I32" i="22"/>
  <c r="I34" i="8"/>
  <c r="B30" i="27"/>
  <c r="F30" i="27"/>
  <c r="G30" i="27" s="1"/>
  <c r="I26" i="37"/>
  <c r="I37" i="10"/>
  <c r="I33" i="5"/>
  <c r="I27" i="30"/>
  <c r="I28" i="29"/>
  <c r="I35" i="11"/>
  <c r="I33" i="3"/>
  <c r="I34" i="6"/>
  <c r="I24" i="41"/>
  <c r="B35" i="8"/>
  <c r="F35" i="8"/>
  <c r="G35" i="8" s="1"/>
  <c r="F32" i="23"/>
  <c r="H32" i="23" s="1"/>
  <c r="B32" i="23"/>
  <c r="F25" i="40"/>
  <c r="H25" i="40" s="1"/>
  <c r="B25" i="40"/>
  <c r="I28" i="28"/>
  <c r="E37" i="9"/>
  <c r="D37" i="9"/>
  <c r="B26" i="38"/>
  <c r="F26" i="38"/>
  <c r="H26" i="38" s="1"/>
  <c r="B31" i="24"/>
  <c r="F31" i="24"/>
  <c r="H31" i="24" s="1"/>
  <c r="B34" i="4"/>
  <c r="F34" i="4"/>
  <c r="H34" i="4" s="1"/>
  <c r="F24" i="43"/>
  <c r="B24" i="43"/>
  <c r="B26" i="45"/>
  <c r="F26" i="45"/>
  <c r="F34" i="5"/>
  <c r="H34" i="5" s="1"/>
  <c r="B34" i="5"/>
  <c r="I32" i="25"/>
  <c r="F34" i="3"/>
  <c r="H34" i="3" s="1"/>
  <c r="B34" i="3"/>
  <c r="I31" i="23"/>
  <c r="B35" i="6"/>
  <c r="F35" i="6"/>
  <c r="H35" i="6" s="1"/>
  <c r="F28" i="30"/>
  <c r="H28" i="30" s="1"/>
  <c r="B28" i="30"/>
  <c r="B37" i="7"/>
  <c r="F37" i="7"/>
  <c r="H37" i="7" s="1"/>
  <c r="D26" i="46"/>
  <c r="B25" i="41"/>
  <c r="F25" i="41"/>
  <c r="H25" i="41" s="1"/>
  <c r="B33" i="25"/>
  <c r="F33" i="25"/>
  <c r="G33" i="25" s="1"/>
  <c r="H25" i="46"/>
  <c r="I25" i="46" s="1"/>
  <c r="B38" i="10"/>
  <c r="F38" i="10"/>
  <c r="H38" i="10" s="1"/>
  <c r="B29" i="28"/>
  <c r="F29" i="28"/>
  <c r="H29" i="28" s="1"/>
  <c r="F25" i="42"/>
  <c r="B25" i="42"/>
  <c r="F29" i="29"/>
  <c r="H29" i="29" s="1"/>
  <c r="B29" i="29"/>
  <c r="F36" i="11"/>
  <c r="H36" i="11" s="1"/>
  <c r="B36" i="11"/>
  <c r="I23" i="43"/>
  <c r="F26" i="39"/>
  <c r="H26" i="39" s="1"/>
  <c r="B26" i="39"/>
  <c r="F33" i="22"/>
  <c r="H33" i="22" s="1"/>
  <c r="B33" i="22"/>
  <c r="I30" i="24"/>
  <c r="F29" i="31"/>
  <c r="H29" i="31" s="1"/>
  <c r="B29" i="31"/>
  <c r="I33" i="4"/>
  <c r="F27" i="37"/>
  <c r="B27" i="37"/>
  <c r="I25" i="45"/>
  <c r="H107" i="13"/>
  <c r="I107" i="13"/>
  <c r="B108" i="13"/>
  <c r="F108" i="13"/>
  <c r="I25" i="13" l="1"/>
  <c r="E26" i="13"/>
  <c r="F26" i="13" s="1"/>
  <c r="B26" i="13"/>
  <c r="G29" i="31"/>
  <c r="G28" i="30"/>
  <c r="G29" i="29"/>
  <c r="G29" i="28"/>
  <c r="H30" i="27"/>
  <c r="H33" i="25"/>
  <c r="G31" i="24"/>
  <c r="G32" i="23"/>
  <c r="G33" i="22"/>
  <c r="G36" i="11"/>
  <c r="G38" i="10"/>
  <c r="H35" i="8"/>
  <c r="G37" i="7"/>
  <c r="G35" i="6"/>
  <c r="G34" i="5"/>
  <c r="G34" i="4"/>
  <c r="G34" i="3"/>
  <c r="H26" i="44"/>
  <c r="G26" i="44"/>
  <c r="D27" i="44"/>
  <c r="G26" i="38"/>
  <c r="I26" i="38" s="1"/>
  <c r="G26" i="39"/>
  <c r="I26" i="39" s="1"/>
  <c r="E31" i="27"/>
  <c r="D31" i="27"/>
  <c r="E28" i="37"/>
  <c r="D28" i="37"/>
  <c r="D38" i="7"/>
  <c r="E38" i="7"/>
  <c r="D35" i="3"/>
  <c r="E35" i="3"/>
  <c r="D25" i="43"/>
  <c r="E25" i="43"/>
  <c r="G27" i="37"/>
  <c r="D37" i="11"/>
  <c r="E37" i="11"/>
  <c r="D26" i="42"/>
  <c r="E26" i="42"/>
  <c r="D34" i="25"/>
  <c r="E34" i="25"/>
  <c r="D26" i="41"/>
  <c r="E26" i="41"/>
  <c r="D27" i="45"/>
  <c r="G24" i="43"/>
  <c r="D35" i="4"/>
  <c r="E35" i="4"/>
  <c r="B37" i="9"/>
  <c r="F37" i="9"/>
  <c r="G37" i="9" s="1"/>
  <c r="D26" i="40"/>
  <c r="E26" i="40"/>
  <c r="D30" i="28"/>
  <c r="E30" i="28"/>
  <c r="B26" i="46"/>
  <c r="D36" i="6"/>
  <c r="E36" i="6"/>
  <c r="D35" i="5"/>
  <c r="E35" i="5"/>
  <c r="H27" i="37"/>
  <c r="D34" i="22"/>
  <c r="E34" i="22"/>
  <c r="D27" i="39"/>
  <c r="E27" i="39"/>
  <c r="G25" i="42"/>
  <c r="E39" i="10"/>
  <c r="D39" i="10"/>
  <c r="H26" i="45"/>
  <c r="D27" i="38"/>
  <c r="E27" i="38"/>
  <c r="I36" i="9"/>
  <c r="G25" i="40"/>
  <c r="I25" i="40" s="1"/>
  <c r="D36" i="8"/>
  <c r="E36" i="8"/>
  <c r="D30" i="31"/>
  <c r="E30" i="31"/>
  <c r="D30" i="29"/>
  <c r="E30" i="29"/>
  <c r="H25" i="42"/>
  <c r="G25" i="41"/>
  <c r="I25" i="41" s="1"/>
  <c r="E26" i="46"/>
  <c r="F26" i="46" s="1"/>
  <c r="D29" i="30"/>
  <c r="E29" i="30"/>
  <c r="G26" i="45"/>
  <c r="H24" i="43"/>
  <c r="D32" i="24"/>
  <c r="E32" i="24"/>
  <c r="D33" i="23"/>
  <c r="E33" i="23"/>
  <c r="J107" i="13"/>
  <c r="G108" i="13"/>
  <c r="D109" i="13"/>
  <c r="E109" i="13" s="1"/>
  <c r="G26" i="13" l="1"/>
  <c r="D27" i="13"/>
  <c r="H26" i="13"/>
  <c r="I26" i="44"/>
  <c r="H37" i="9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H31" i="27" s="1"/>
  <c r="B31" i="27"/>
  <c r="D27" i="46"/>
  <c r="G26" i="46"/>
  <c r="H26" i="46"/>
  <c r="B32" i="24"/>
  <c r="F32" i="24"/>
  <c r="H32" i="24" s="1"/>
  <c r="F30" i="29"/>
  <c r="H30" i="29" s="1"/>
  <c r="B30" i="29"/>
  <c r="F39" i="10"/>
  <c r="H39" i="10" s="1"/>
  <c r="B39" i="10"/>
  <c r="F30" i="28"/>
  <c r="G30" i="28" s="1"/>
  <c r="B30" i="28"/>
  <c r="B26" i="40"/>
  <c r="F26" i="40"/>
  <c r="H26" i="40" s="1"/>
  <c r="B27" i="45"/>
  <c r="B25" i="43"/>
  <c r="F25" i="43"/>
  <c r="I34" i="3"/>
  <c r="I24" i="43"/>
  <c r="I28" i="30"/>
  <c r="B36" i="8"/>
  <c r="F36" i="8"/>
  <c r="H36" i="8" s="1"/>
  <c r="B34" i="22"/>
  <c r="F34" i="22"/>
  <c r="H34" i="22" s="1"/>
  <c r="F35" i="5"/>
  <c r="H35" i="5" s="1"/>
  <c r="B35" i="5"/>
  <c r="F36" i="6"/>
  <c r="H36" i="6" s="1"/>
  <c r="B36" i="6"/>
  <c r="E38" i="9"/>
  <c r="D38" i="9"/>
  <c r="B35" i="4"/>
  <c r="F35" i="4"/>
  <c r="H35" i="4" s="1"/>
  <c r="E27" i="45"/>
  <c r="F27" i="45" s="1"/>
  <c r="F34" i="25"/>
  <c r="H34" i="25" s="1"/>
  <c r="B34" i="25"/>
  <c r="B26" i="42"/>
  <c r="F26" i="42"/>
  <c r="H26" i="42" s="1"/>
  <c r="F37" i="11"/>
  <c r="H37" i="11" s="1"/>
  <c r="B37" i="11"/>
  <c r="F30" i="31"/>
  <c r="G30" i="31" s="1"/>
  <c r="B30" i="31"/>
  <c r="B26" i="41"/>
  <c r="F26" i="41"/>
  <c r="H26" i="41" s="1"/>
  <c r="B38" i="7"/>
  <c r="F38" i="7"/>
  <c r="H38" i="7" s="1"/>
  <c r="B33" i="23"/>
  <c r="F33" i="23"/>
  <c r="G33" i="23" s="1"/>
  <c r="I32" i="23"/>
  <c r="I31" i="24"/>
  <c r="F29" i="30"/>
  <c r="H29" i="30" s="1"/>
  <c r="B29" i="30"/>
  <c r="I35" i="8"/>
  <c r="B27" i="38"/>
  <c r="F27" i="38"/>
  <c r="G27" i="38" s="1"/>
  <c r="B27" i="39"/>
  <c r="F27" i="39"/>
  <c r="H27" i="39" s="1"/>
  <c r="I33" i="25"/>
  <c r="F35" i="3"/>
  <c r="H35" i="3" s="1"/>
  <c r="B35" i="3"/>
  <c r="B28" i="37"/>
  <c r="F28" i="37"/>
  <c r="I108" i="13"/>
  <c r="H108" i="13"/>
  <c r="F109" i="13"/>
  <c r="B109" i="13"/>
  <c r="I26" i="13" l="1"/>
  <c r="E27" i="13"/>
  <c r="F27" i="13" s="1"/>
  <c r="B27" i="13"/>
  <c r="H30" i="31"/>
  <c r="G29" i="30"/>
  <c r="G30" i="29"/>
  <c r="H30" i="28"/>
  <c r="G31" i="27"/>
  <c r="G34" i="25"/>
  <c r="G32" i="24"/>
  <c r="H33" i="23"/>
  <c r="G34" i="22"/>
  <c r="G37" i="11"/>
  <c r="G39" i="10"/>
  <c r="G36" i="8"/>
  <c r="G38" i="7"/>
  <c r="G36" i="6"/>
  <c r="G35" i="5"/>
  <c r="G35" i="4"/>
  <c r="G35" i="3"/>
  <c r="G26" i="42"/>
  <c r="I26" i="42" s="1"/>
  <c r="H27" i="44"/>
  <c r="D28" i="44"/>
  <c r="G27" i="44"/>
  <c r="I26" i="46"/>
  <c r="D32" i="27"/>
  <c r="E32" i="27"/>
  <c r="D28" i="45"/>
  <c r="E28" i="45" s="1"/>
  <c r="H27" i="45"/>
  <c r="G27" i="45"/>
  <c r="D38" i="11"/>
  <c r="E38" i="11"/>
  <c r="D26" i="43"/>
  <c r="E26" i="43"/>
  <c r="D28" i="39"/>
  <c r="E28" i="39"/>
  <c r="D28" i="38"/>
  <c r="E28" i="38"/>
  <c r="D36" i="5"/>
  <c r="E36" i="5"/>
  <c r="G25" i="43"/>
  <c r="G26" i="40"/>
  <c r="I26" i="40" s="1"/>
  <c r="D31" i="28"/>
  <c r="E31" i="28"/>
  <c r="D31" i="29"/>
  <c r="E31" i="29"/>
  <c r="D36" i="4"/>
  <c r="E36" i="4"/>
  <c r="D37" i="8"/>
  <c r="E37" i="8"/>
  <c r="D29" i="37"/>
  <c r="E29" i="37"/>
  <c r="G28" i="37"/>
  <c r="D36" i="3"/>
  <c r="E36" i="3"/>
  <c r="H27" i="38"/>
  <c r="I27" i="38" s="1"/>
  <c r="D34" i="23"/>
  <c r="E34" i="23"/>
  <c r="D27" i="41"/>
  <c r="E27" i="41"/>
  <c r="D35" i="25"/>
  <c r="E35" i="25"/>
  <c r="B38" i="9"/>
  <c r="F38" i="9"/>
  <c r="H38" i="9" s="1"/>
  <c r="D35" i="22"/>
  <c r="E35" i="22"/>
  <c r="D33" i="24"/>
  <c r="E33" i="24"/>
  <c r="B27" i="46"/>
  <c r="D39" i="7"/>
  <c r="E39" i="7"/>
  <c r="D27" i="40"/>
  <c r="E27" i="40"/>
  <c r="H28" i="37"/>
  <c r="G27" i="39"/>
  <c r="I27" i="39" s="1"/>
  <c r="D30" i="30"/>
  <c r="E30" i="30"/>
  <c r="G26" i="41"/>
  <c r="I26" i="41" s="1"/>
  <c r="D31" i="31"/>
  <c r="E31" i="31"/>
  <c r="D27" i="42"/>
  <c r="E27" i="42"/>
  <c r="I37" i="9"/>
  <c r="D37" i="6"/>
  <c r="E37" i="6"/>
  <c r="H25" i="43"/>
  <c r="D40" i="10"/>
  <c r="E40" i="10"/>
  <c r="E27" i="46"/>
  <c r="F27" i="46" s="1"/>
  <c r="G109" i="13"/>
  <c r="D110" i="13"/>
  <c r="E110" i="13" s="1"/>
  <c r="J108" i="13"/>
  <c r="D28" i="13" l="1"/>
  <c r="H27" i="13"/>
  <c r="G27" i="13"/>
  <c r="I25" i="43"/>
  <c r="G38" i="9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G32" i="27" s="1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H40" i="10" s="1"/>
  <c r="F27" i="42"/>
  <c r="H27" i="42" s="1"/>
  <c r="B27" i="42"/>
  <c r="B28" i="39"/>
  <c r="F28" i="39"/>
  <c r="B30" i="30"/>
  <c r="F30" i="30"/>
  <c r="H30" i="30" s="1"/>
  <c r="F35" i="22"/>
  <c r="G35" i="22" s="1"/>
  <c r="B35" i="22"/>
  <c r="B34" i="23"/>
  <c r="F34" i="23"/>
  <c r="H34" i="23" s="1"/>
  <c r="B36" i="4"/>
  <c r="F36" i="4"/>
  <c r="H36" i="4" s="1"/>
  <c r="I27" i="45"/>
  <c r="B27" i="40"/>
  <c r="F27" i="40"/>
  <c r="G27" i="40" s="1"/>
  <c r="B36" i="5"/>
  <c r="F36" i="5"/>
  <c r="H36" i="5" s="1"/>
  <c r="I36" i="6"/>
  <c r="I38" i="7"/>
  <c r="I34" i="25"/>
  <c r="I36" i="8"/>
  <c r="F31" i="29"/>
  <c r="H31" i="29" s="1"/>
  <c r="B31" i="29"/>
  <c r="B31" i="28"/>
  <c r="F31" i="28"/>
  <c r="H31" i="28" s="1"/>
  <c r="F28" i="38"/>
  <c r="G28" i="38" s="1"/>
  <c r="B28" i="38"/>
  <c r="F26" i="43"/>
  <c r="H26" i="43" s="1"/>
  <c r="B26" i="43"/>
  <c r="F38" i="11"/>
  <c r="H38" i="11" s="1"/>
  <c r="B38" i="11"/>
  <c r="B39" i="7"/>
  <c r="F39" i="7"/>
  <c r="G39" i="7" s="1"/>
  <c r="B37" i="6"/>
  <c r="F37" i="6"/>
  <c r="H37" i="6" s="1"/>
  <c r="F31" i="31"/>
  <c r="G31" i="31" s="1"/>
  <c r="B31" i="31"/>
  <c r="I29" i="30"/>
  <c r="F33" i="24"/>
  <c r="G33" i="24" s="1"/>
  <c r="B33" i="24"/>
  <c r="D39" i="9"/>
  <c r="E39" i="9"/>
  <c r="F35" i="25"/>
  <c r="G35" i="25" s="1"/>
  <c r="B35" i="25"/>
  <c r="F27" i="41"/>
  <c r="G27" i="41" s="1"/>
  <c r="B27" i="41"/>
  <c r="B36" i="3"/>
  <c r="F36" i="3"/>
  <c r="H36" i="3" s="1"/>
  <c r="B29" i="37"/>
  <c r="F29" i="37"/>
  <c r="H29" i="37" s="1"/>
  <c r="F37" i="8"/>
  <c r="H37" i="8" s="1"/>
  <c r="B37" i="8"/>
  <c r="I35" i="5"/>
  <c r="B28" i="45"/>
  <c r="F28" i="45"/>
  <c r="H28" i="45" s="1"/>
  <c r="F110" i="13"/>
  <c r="B110" i="13"/>
  <c r="H109" i="13"/>
  <c r="I109" i="13"/>
  <c r="I27" i="13" l="1"/>
  <c r="B28" i="13"/>
  <c r="E28" i="13"/>
  <c r="F28" i="13" s="1"/>
  <c r="H31" i="31"/>
  <c r="G30" i="30"/>
  <c r="G31" i="29"/>
  <c r="G31" i="28"/>
  <c r="H32" i="27"/>
  <c r="H35" i="25"/>
  <c r="H33" i="24"/>
  <c r="G34" i="23"/>
  <c r="H35" i="22"/>
  <c r="G38" i="11"/>
  <c r="G40" i="10"/>
  <c r="G37" i="8"/>
  <c r="H39" i="7"/>
  <c r="G37" i="6"/>
  <c r="G36" i="5"/>
  <c r="G36" i="4"/>
  <c r="G36" i="3"/>
  <c r="H28" i="44"/>
  <c r="I28" i="44" s="1"/>
  <c r="D29" i="44"/>
  <c r="I38" i="9"/>
  <c r="H28" i="38"/>
  <c r="I28" i="38" s="1"/>
  <c r="G29" i="37"/>
  <c r="I29" i="37" s="1"/>
  <c r="H27" i="41"/>
  <c r="I27" i="41" s="1"/>
  <c r="H27" i="40"/>
  <c r="I27" i="40" s="1"/>
  <c r="D33" i="27"/>
  <c r="E33" i="27"/>
  <c r="D37" i="3"/>
  <c r="E37" i="3"/>
  <c r="D37" i="5"/>
  <c r="E37" i="5"/>
  <c r="D36" i="22"/>
  <c r="E36" i="22"/>
  <c r="D29" i="45"/>
  <c r="E29" i="45" s="1"/>
  <c r="D34" i="24"/>
  <c r="E34" i="24"/>
  <c r="D32" i="31"/>
  <c r="E32" i="31"/>
  <c r="D39" i="11"/>
  <c r="E39" i="11"/>
  <c r="D27" i="43"/>
  <c r="E27" i="43"/>
  <c r="D32" i="29"/>
  <c r="E32" i="29"/>
  <c r="D35" i="23"/>
  <c r="E35" i="23"/>
  <c r="D31" i="30"/>
  <c r="E31" i="30"/>
  <c r="E41" i="10"/>
  <c r="D41" i="10"/>
  <c r="I27" i="46"/>
  <c r="D29" i="39"/>
  <c r="E29" i="39"/>
  <c r="G28" i="45"/>
  <c r="I28" i="45" s="1"/>
  <c r="E30" i="37"/>
  <c r="D30" i="37"/>
  <c r="D38" i="6"/>
  <c r="E38" i="6"/>
  <c r="D40" i="7"/>
  <c r="E40" i="7"/>
  <c r="D32" i="28"/>
  <c r="E32" i="28"/>
  <c r="H28" i="39"/>
  <c r="D28" i="42"/>
  <c r="E28" i="42"/>
  <c r="D38" i="8"/>
  <c r="E38" i="8"/>
  <c r="D28" i="41"/>
  <c r="E28" i="41"/>
  <c r="D36" i="25"/>
  <c r="E36" i="25"/>
  <c r="F39" i="9"/>
  <c r="H39" i="9" s="1"/>
  <c r="B39" i="9"/>
  <c r="G26" i="43"/>
  <c r="I26" i="43" s="1"/>
  <c r="D29" i="38"/>
  <c r="E29" i="38"/>
  <c r="D28" i="40"/>
  <c r="E28" i="40"/>
  <c r="D37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H28" i="13" l="1"/>
  <c r="D29" i="13"/>
  <c r="G28" i="13"/>
  <c r="G39" i="9"/>
  <c r="B29" i="44"/>
  <c r="E29" i="44"/>
  <c r="F29" i="44" s="1"/>
  <c r="I36" i="4"/>
  <c r="I36" i="5"/>
  <c r="I35" i="25"/>
  <c r="I30" i="30"/>
  <c r="I34" i="23"/>
  <c r="I32" i="27"/>
  <c r="I39" i="7"/>
  <c r="B33" i="27"/>
  <c r="F33" i="27"/>
  <c r="H33" i="27" s="1"/>
  <c r="I31" i="29"/>
  <c r="I31" i="31"/>
  <c r="I36" i="3"/>
  <c r="I28" i="39"/>
  <c r="I31" i="28"/>
  <c r="F37" i="4"/>
  <c r="G37" i="4" s="1"/>
  <c r="B37" i="4"/>
  <c r="E40" i="9"/>
  <c r="D40" i="9"/>
  <c r="B31" i="30"/>
  <c r="F31" i="30"/>
  <c r="H31" i="30" s="1"/>
  <c r="B27" i="43"/>
  <c r="F27" i="43"/>
  <c r="H27" i="43" s="1"/>
  <c r="B37" i="3"/>
  <c r="F37" i="3"/>
  <c r="H37" i="3" s="1"/>
  <c r="F29" i="38"/>
  <c r="B29" i="38"/>
  <c r="F38" i="8"/>
  <c r="H38" i="8" s="1"/>
  <c r="B38" i="8"/>
  <c r="B30" i="37"/>
  <c r="F30" i="37"/>
  <c r="H30" i="37" s="1"/>
  <c r="I40" i="10"/>
  <c r="B32" i="29"/>
  <c r="F32" i="29"/>
  <c r="H32" i="29" s="1"/>
  <c r="I35" i="22"/>
  <c r="D29" i="46"/>
  <c r="E29" i="46" s="1"/>
  <c r="H28" i="46"/>
  <c r="I28" i="46" s="1"/>
  <c r="B36" i="25"/>
  <c r="F36" i="25"/>
  <c r="H36" i="25" s="1"/>
  <c r="B28" i="41"/>
  <c r="F28" i="41"/>
  <c r="G28" i="41" s="1"/>
  <c r="I37" i="8"/>
  <c r="B32" i="28"/>
  <c r="F32" i="28"/>
  <c r="G32" i="28" s="1"/>
  <c r="I37" i="6"/>
  <c r="I38" i="11"/>
  <c r="I33" i="24"/>
  <c r="F29" i="39"/>
  <c r="G29" i="39" s="1"/>
  <c r="B29" i="39"/>
  <c r="B35" i="23"/>
  <c r="F35" i="23"/>
  <c r="H35" i="23" s="1"/>
  <c r="B32" i="31"/>
  <c r="F32" i="31"/>
  <c r="G32" i="31" s="1"/>
  <c r="B28" i="40"/>
  <c r="F28" i="40"/>
  <c r="H28" i="40" s="1"/>
  <c r="B28" i="42"/>
  <c r="F28" i="42"/>
  <c r="G28" i="42" s="1"/>
  <c r="B40" i="7"/>
  <c r="F40" i="7"/>
  <c r="H40" i="7" s="1"/>
  <c r="F38" i="6"/>
  <c r="H38" i="6" s="1"/>
  <c r="B38" i="6"/>
  <c r="B41" i="10"/>
  <c r="F41" i="10"/>
  <c r="G41" i="10" s="1"/>
  <c r="F39" i="11"/>
  <c r="G39" i="11" s="1"/>
  <c r="B39" i="11"/>
  <c r="F34" i="24"/>
  <c r="H34" i="24" s="1"/>
  <c r="B34" i="24"/>
  <c r="F29" i="45"/>
  <c r="B29" i="45"/>
  <c r="B36" i="22"/>
  <c r="F36" i="22"/>
  <c r="H36" i="22" s="1"/>
  <c r="F37" i="5"/>
  <c r="H37" i="5" s="1"/>
  <c r="B37" i="5"/>
  <c r="H110" i="13"/>
  <c r="I110" i="13"/>
  <c r="B111" i="13"/>
  <c r="F111" i="13"/>
  <c r="I28" i="13" l="1"/>
  <c r="E29" i="13"/>
  <c r="F29" i="13" s="1"/>
  <c r="B29" i="13"/>
  <c r="H32" i="31"/>
  <c r="G31" i="30"/>
  <c r="G32" i="29"/>
  <c r="H32" i="28"/>
  <c r="G33" i="27"/>
  <c r="G36" i="25"/>
  <c r="G34" i="24"/>
  <c r="G35" i="23"/>
  <c r="G36" i="22"/>
  <c r="H39" i="11"/>
  <c r="I39" i="11" s="1"/>
  <c r="H41" i="10"/>
  <c r="G38" i="8"/>
  <c r="G40" i="7"/>
  <c r="G38" i="6"/>
  <c r="G37" i="5"/>
  <c r="H37" i="4"/>
  <c r="G37" i="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D34" i="27"/>
  <c r="D30" i="45"/>
  <c r="E30" i="45" s="1"/>
  <c r="D40" i="11"/>
  <c r="E40" i="11"/>
  <c r="D39" i="6"/>
  <c r="E39" i="6"/>
  <c r="D29" i="42"/>
  <c r="E29" i="42"/>
  <c r="D33" i="29"/>
  <c r="E33" i="29"/>
  <c r="D39" i="8"/>
  <c r="E39" i="8"/>
  <c r="D30" i="38"/>
  <c r="E30" i="38"/>
  <c r="F40" i="9"/>
  <c r="H40" i="9" s="1"/>
  <c r="B40" i="9"/>
  <c r="D38" i="4"/>
  <c r="E38" i="4"/>
  <c r="D33" i="31"/>
  <c r="E33" i="31"/>
  <c r="D33" i="28"/>
  <c r="E33" i="28"/>
  <c r="D38" i="5"/>
  <c r="E38" i="5"/>
  <c r="G29" i="45"/>
  <c r="D35" i="24"/>
  <c r="E35" i="24"/>
  <c r="D42" i="10"/>
  <c r="D41" i="7"/>
  <c r="E41" i="7"/>
  <c r="D36" i="23"/>
  <c r="E36" i="23"/>
  <c r="D30" i="39"/>
  <c r="E30" i="39"/>
  <c r="E31" i="37"/>
  <c r="D31" i="37"/>
  <c r="H29" i="38"/>
  <c r="D38" i="3"/>
  <c r="E38" i="3"/>
  <c r="D28" i="43"/>
  <c r="E28" i="43"/>
  <c r="D32" i="30"/>
  <c r="E32" i="30"/>
  <c r="I39" i="9"/>
  <c r="D29" i="40"/>
  <c r="E29" i="40"/>
  <c r="D37" i="22"/>
  <c r="E37" i="22"/>
  <c r="H29" i="45"/>
  <c r="H28" i="42"/>
  <c r="I28" i="42" s="1"/>
  <c r="G28" i="40"/>
  <c r="I28" i="40" s="1"/>
  <c r="D29" i="41"/>
  <c r="E29" i="41"/>
  <c r="D37" i="25"/>
  <c r="E37" i="25"/>
  <c r="F29" i="46"/>
  <c r="G29" i="46" s="1"/>
  <c r="B29" i="46"/>
  <c r="G29" i="38"/>
  <c r="J110" i="13"/>
  <c r="G111" i="13"/>
  <c r="D112" i="13"/>
  <c r="E112" i="13" s="1"/>
  <c r="I29" i="45" l="1"/>
  <c r="D30" i="13"/>
  <c r="G29" i="13"/>
  <c r="H29" i="13"/>
  <c r="E42" i="10"/>
  <c r="F42" i="10" s="1"/>
  <c r="H42" i="10" s="1"/>
  <c r="G40" i="9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G34" i="27" s="1"/>
  <c r="B34" i="27"/>
  <c r="I37" i="4"/>
  <c r="B38" i="3"/>
  <c r="F38" i="3"/>
  <c r="H38" i="3" s="1"/>
  <c r="F30" i="39"/>
  <c r="H30" i="39" s="1"/>
  <c r="B30" i="39"/>
  <c r="F30" i="38"/>
  <c r="H30" i="38" s="1"/>
  <c r="B30" i="38"/>
  <c r="B37" i="25"/>
  <c r="F37" i="25"/>
  <c r="G37" i="25" s="1"/>
  <c r="F28" i="43"/>
  <c r="H28" i="43" s="1"/>
  <c r="B28" i="43"/>
  <c r="I41" i="10"/>
  <c r="F38" i="5"/>
  <c r="H38" i="5" s="1"/>
  <c r="B38" i="5"/>
  <c r="I32" i="31"/>
  <c r="B40" i="11"/>
  <c r="F40" i="11"/>
  <c r="H40" i="11" s="1"/>
  <c r="B36" i="23"/>
  <c r="F36" i="23"/>
  <c r="H36" i="23" s="1"/>
  <c r="D30" i="46"/>
  <c r="E30" i="46" s="1"/>
  <c r="I36" i="25"/>
  <c r="B32" i="30"/>
  <c r="F32" i="30"/>
  <c r="H32" i="30" s="1"/>
  <c r="I29" i="38"/>
  <c r="B42" i="10"/>
  <c r="B35" i="24"/>
  <c r="F35" i="24"/>
  <c r="H35" i="24" s="1"/>
  <c r="F33" i="28"/>
  <c r="H33" i="28" s="1"/>
  <c r="B33" i="28"/>
  <c r="F33" i="31"/>
  <c r="H33" i="31" s="1"/>
  <c r="B33" i="31"/>
  <c r="E41" i="9"/>
  <c r="D41" i="9"/>
  <c r="I38" i="8"/>
  <c r="I38" i="6"/>
  <c r="F30" i="45"/>
  <c r="G30" i="45" s="1"/>
  <c r="B30" i="45"/>
  <c r="B29" i="41"/>
  <c r="F29" i="41"/>
  <c r="F41" i="7"/>
  <c r="H41" i="7" s="1"/>
  <c r="B41" i="7"/>
  <c r="B33" i="29"/>
  <c r="F33" i="29"/>
  <c r="H33" i="29" s="1"/>
  <c r="B37" i="22"/>
  <c r="F37" i="22"/>
  <c r="H37" i="22" s="1"/>
  <c r="F29" i="40"/>
  <c r="H29" i="40" s="1"/>
  <c r="B29" i="40"/>
  <c r="I31" i="30"/>
  <c r="F31" i="37"/>
  <c r="H31" i="37" s="1"/>
  <c r="B31" i="37"/>
  <c r="I35" i="23"/>
  <c r="B38" i="4"/>
  <c r="F38" i="4"/>
  <c r="H38" i="4" s="1"/>
  <c r="F39" i="8"/>
  <c r="G39" i="8" s="1"/>
  <c r="B39" i="8"/>
  <c r="I32" i="29"/>
  <c r="B29" i="42"/>
  <c r="F29" i="42"/>
  <c r="G29" i="42" s="1"/>
  <c r="F39" i="6"/>
  <c r="H39" i="6" s="1"/>
  <c r="B39" i="6"/>
  <c r="B112" i="13"/>
  <c r="F112" i="13"/>
  <c r="I111" i="13"/>
  <c r="H111" i="13"/>
  <c r="I29" i="13" l="1"/>
  <c r="E30" i="13"/>
  <c r="F30" i="13" s="1"/>
  <c r="B30" i="13"/>
  <c r="G33" i="31"/>
  <c r="G32" i="30"/>
  <c r="G33" i="29"/>
  <c r="G33" i="28"/>
  <c r="H34" i="27"/>
  <c r="H37" i="25"/>
  <c r="G35" i="24"/>
  <c r="G36" i="23"/>
  <c r="G37" i="22"/>
  <c r="G40" i="11"/>
  <c r="G42" i="10"/>
  <c r="H39" i="8"/>
  <c r="G41" i="7"/>
  <c r="G39" i="6"/>
  <c r="G38" i="5"/>
  <c r="G38" i="4"/>
  <c r="G38" i="3"/>
  <c r="G30" i="44"/>
  <c r="H30" i="44"/>
  <c r="D31" i="44"/>
  <c r="G29" i="40"/>
  <c r="I29" i="40" s="1"/>
  <c r="E35" i="27"/>
  <c r="D35" i="27"/>
  <c r="D38" i="22"/>
  <c r="E38" i="22"/>
  <c r="D34" i="28"/>
  <c r="E34" i="28"/>
  <c r="E43" i="10"/>
  <c r="D43" i="10"/>
  <c r="D38" i="25"/>
  <c r="E38" i="25"/>
  <c r="D30" i="42"/>
  <c r="E30" i="42"/>
  <c r="D32" i="37"/>
  <c r="E32" i="37"/>
  <c r="D42" i="7"/>
  <c r="B41" i="9"/>
  <c r="F41" i="9"/>
  <c r="H41" i="9" s="1"/>
  <c r="D36" i="24"/>
  <c r="E36" i="24"/>
  <c r="D29" i="43"/>
  <c r="E29" i="43"/>
  <c r="D31" i="38"/>
  <c r="E31" i="38"/>
  <c r="D31" i="39"/>
  <c r="E31" i="39"/>
  <c r="D30" i="41"/>
  <c r="E30" i="41"/>
  <c r="D31" i="45"/>
  <c r="E31" i="45" s="1"/>
  <c r="D37" i="23"/>
  <c r="E37" i="23"/>
  <c r="D39" i="5"/>
  <c r="E39" i="5"/>
  <c r="D40" i="8"/>
  <c r="E40" i="8"/>
  <c r="G31" i="37"/>
  <c r="I31" i="37" s="1"/>
  <c r="D34" i="29"/>
  <c r="E34" i="29"/>
  <c r="H29" i="41"/>
  <c r="I40" i="9"/>
  <c r="D34" i="31"/>
  <c r="E34" i="31"/>
  <c r="D33" i="30"/>
  <c r="E33" i="30"/>
  <c r="F30" i="46"/>
  <c r="H30" i="46" s="1"/>
  <c r="B30" i="46"/>
  <c r="D41" i="11"/>
  <c r="E41" i="11"/>
  <c r="D39" i="3"/>
  <c r="E39" i="3"/>
  <c r="D40" i="6"/>
  <c r="E40" i="6"/>
  <c r="H29" i="42"/>
  <c r="I29" i="42" s="1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I30" i="44" l="1"/>
  <c r="H30" i="13"/>
  <c r="D31" i="13"/>
  <c r="G30" i="13"/>
  <c r="G41" i="9"/>
  <c r="E42" i="7"/>
  <c r="F42" i="7" s="1"/>
  <c r="G42" i="7" s="1"/>
  <c r="E31" i="44"/>
  <c r="F31" i="44" s="1"/>
  <c r="B31" i="44"/>
  <c r="I41" i="7"/>
  <c r="I38" i="3"/>
  <c r="I35" i="24"/>
  <c r="I40" i="11"/>
  <c r="I38" i="5"/>
  <c r="F35" i="27"/>
  <c r="H35" i="27" s="1"/>
  <c r="B35" i="27"/>
  <c r="I32" i="30"/>
  <c r="I37" i="25"/>
  <c r="I33" i="28"/>
  <c r="I37" i="22"/>
  <c r="I34" i="27"/>
  <c r="I39" i="6"/>
  <c r="D31" i="46"/>
  <c r="F34" i="31"/>
  <c r="H34" i="31" s="1"/>
  <c r="B34" i="31"/>
  <c r="B39" i="5"/>
  <c r="F39" i="5"/>
  <c r="H39" i="5" s="1"/>
  <c r="B30" i="41"/>
  <c r="F30" i="41"/>
  <c r="G30" i="41" s="1"/>
  <c r="B31" i="38"/>
  <c r="F31" i="38"/>
  <c r="G31" i="38" s="1"/>
  <c r="B30" i="42"/>
  <c r="F30" i="42"/>
  <c r="H30" i="42" s="1"/>
  <c r="B34" i="28"/>
  <c r="F34" i="28"/>
  <c r="H34" i="28" s="1"/>
  <c r="F30" i="40"/>
  <c r="B30" i="40"/>
  <c r="F41" i="11"/>
  <c r="H41" i="11" s="1"/>
  <c r="B41" i="11"/>
  <c r="F40" i="8"/>
  <c r="H40" i="8" s="1"/>
  <c r="B40" i="8"/>
  <c r="B42" i="7"/>
  <c r="F39" i="4"/>
  <c r="H39" i="4" s="1"/>
  <c r="B39" i="4"/>
  <c r="G30" i="46"/>
  <c r="I30" i="46" s="1"/>
  <c r="F34" i="29"/>
  <c r="H34" i="29" s="1"/>
  <c r="B34" i="29"/>
  <c r="I39" i="8"/>
  <c r="B36" i="24"/>
  <c r="F36" i="24"/>
  <c r="H36" i="24" s="1"/>
  <c r="F38" i="25"/>
  <c r="G38" i="25" s="1"/>
  <c r="B38" i="25"/>
  <c r="B38" i="22"/>
  <c r="F38" i="22"/>
  <c r="H38" i="22" s="1"/>
  <c r="F37" i="23"/>
  <c r="G37" i="23" s="1"/>
  <c r="B37" i="23"/>
  <c r="D42" i="9"/>
  <c r="B43" i="10"/>
  <c r="F43" i="10"/>
  <c r="H43" i="10" s="1"/>
  <c r="I38" i="4"/>
  <c r="B40" i="6"/>
  <c r="F40" i="6"/>
  <c r="H40" i="6" s="1"/>
  <c r="F39" i="3"/>
  <c r="H39" i="3" s="1"/>
  <c r="B39" i="3"/>
  <c r="F33" i="30"/>
  <c r="H33" i="30" s="1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I30" i="13" l="1"/>
  <c r="E31" i="13"/>
  <c r="F31" i="13" s="1"/>
  <c r="B31" i="13"/>
  <c r="G34" i="31"/>
  <c r="G33" i="30"/>
  <c r="G34" i="29"/>
  <c r="G34" i="28"/>
  <c r="G35" i="27"/>
  <c r="H38" i="25"/>
  <c r="I38" i="25" s="1"/>
  <c r="G36" i="24"/>
  <c r="H37" i="23"/>
  <c r="G38" i="22"/>
  <c r="G41" i="11"/>
  <c r="G43" i="10"/>
  <c r="E42" i="9"/>
  <c r="F42" i="9" s="1"/>
  <c r="G42" i="9" s="1"/>
  <c r="G40" i="8"/>
  <c r="H42" i="7"/>
  <c r="G40" i="6"/>
  <c r="G39" i="5"/>
  <c r="G39" i="4"/>
  <c r="G39" i="3"/>
  <c r="D32" i="44"/>
  <c r="H31" i="44"/>
  <c r="G31" i="44"/>
  <c r="H31" i="38"/>
  <c r="I31" i="38" s="1"/>
  <c r="G31" i="45"/>
  <c r="I31" i="45" s="1"/>
  <c r="D36" i="27"/>
  <c r="D33" i="37"/>
  <c r="E33" i="37"/>
  <c r="D40" i="3"/>
  <c r="E40" i="3"/>
  <c r="D31" i="40"/>
  <c r="E31" i="40"/>
  <c r="G29" i="43"/>
  <c r="I29" i="43" s="1"/>
  <c r="D32" i="39"/>
  <c r="E32" i="39"/>
  <c r="D41" i="6"/>
  <c r="D39" i="25"/>
  <c r="E39" i="25"/>
  <c r="G30" i="40"/>
  <c r="G30" i="42"/>
  <c r="I30" i="42" s="1"/>
  <c r="D35" i="31"/>
  <c r="E35" i="31"/>
  <c r="D44" i="10"/>
  <c r="E44" i="10"/>
  <c r="H32" i="37"/>
  <c r="H31" i="39"/>
  <c r="I31" i="39" s="1"/>
  <c r="D34" i="30"/>
  <c r="E34" i="30"/>
  <c r="I41" i="9"/>
  <c r="D39" i="22"/>
  <c r="E39" i="22"/>
  <c r="D37" i="24"/>
  <c r="E37" i="24"/>
  <c r="D40" i="4"/>
  <c r="D41" i="8"/>
  <c r="D35" i="28"/>
  <c r="E35" i="28"/>
  <c r="D31" i="41"/>
  <c r="E31" i="41"/>
  <c r="D40" i="5"/>
  <c r="E40" i="5"/>
  <c r="B31" i="46"/>
  <c r="D30" i="43"/>
  <c r="E30" i="43"/>
  <c r="D38" i="23"/>
  <c r="E38" i="23"/>
  <c r="D42" i="11"/>
  <c r="D31" i="42"/>
  <c r="E31" i="42"/>
  <c r="G32" i="37"/>
  <c r="D32" i="45"/>
  <c r="B42" i="9"/>
  <c r="D35" i="29"/>
  <c r="E35" i="29"/>
  <c r="D43" i="7"/>
  <c r="E43" i="7"/>
  <c r="H30" i="40"/>
  <c r="D32" i="38"/>
  <c r="E32" i="38"/>
  <c r="H30" i="41"/>
  <c r="I30" i="41" s="1"/>
  <c r="E31" i="46"/>
  <c r="F31" i="46" s="1"/>
  <c r="J112" i="13"/>
  <c r="G113" i="13"/>
  <c r="D114" i="13"/>
  <c r="H31" i="13" l="1"/>
  <c r="G31" i="13"/>
  <c r="D32" i="13"/>
  <c r="E42" i="11"/>
  <c r="F42" i="11" s="1"/>
  <c r="H42" i="11" s="1"/>
  <c r="H42" i="9"/>
  <c r="E41" i="8"/>
  <c r="F41" i="8" s="1"/>
  <c r="H41" i="8" s="1"/>
  <c r="E41" i="6"/>
  <c r="F41" i="6" s="1"/>
  <c r="H41" i="6" s="1"/>
  <c r="E40" i="4"/>
  <c r="F40" i="4" s="1"/>
  <c r="H40" i="4" s="1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H36" i="27" s="1"/>
  <c r="D32" i="46"/>
  <c r="E32" i="46" s="1"/>
  <c r="H31" i="46"/>
  <c r="G31" i="46"/>
  <c r="B41" i="6"/>
  <c r="B32" i="38"/>
  <c r="F32" i="38"/>
  <c r="H32" i="38" s="1"/>
  <c r="B35" i="29"/>
  <c r="F35" i="29"/>
  <c r="H35" i="29" s="1"/>
  <c r="B32" i="45"/>
  <c r="B38" i="23"/>
  <c r="F38" i="23"/>
  <c r="H38" i="23" s="1"/>
  <c r="I34" i="28"/>
  <c r="I39" i="4"/>
  <c r="B34" i="30"/>
  <c r="F34" i="30"/>
  <c r="H34" i="30" s="1"/>
  <c r="B44" i="10"/>
  <c r="F44" i="10"/>
  <c r="H44" i="10" s="1"/>
  <c r="F33" i="37"/>
  <c r="G33" i="37" s="1"/>
  <c r="B33" i="37"/>
  <c r="B30" i="43"/>
  <c r="F30" i="43"/>
  <c r="H30" i="43" s="1"/>
  <c r="F31" i="41"/>
  <c r="B31" i="41"/>
  <c r="B37" i="24"/>
  <c r="F37" i="24"/>
  <c r="G37" i="24" s="1"/>
  <c r="B32" i="39"/>
  <c r="F32" i="39"/>
  <c r="G32" i="39" s="1"/>
  <c r="B43" i="7"/>
  <c r="F43" i="7"/>
  <c r="G43" i="7" s="1"/>
  <c r="E32" i="45"/>
  <c r="F32" i="45" s="1"/>
  <c r="F31" i="42"/>
  <c r="H31" i="42" s="1"/>
  <c r="B31" i="42"/>
  <c r="I37" i="23"/>
  <c r="B40" i="5"/>
  <c r="F40" i="5"/>
  <c r="H40" i="5" s="1"/>
  <c r="B42" i="11"/>
  <c r="B41" i="8"/>
  <c r="D43" i="9"/>
  <c r="B35" i="28"/>
  <c r="F35" i="28"/>
  <c r="H35" i="28" s="1"/>
  <c r="B40" i="4"/>
  <c r="B39" i="22"/>
  <c r="F39" i="22"/>
  <c r="H39" i="22" s="1"/>
  <c r="B35" i="31"/>
  <c r="F35" i="31"/>
  <c r="G35" i="31" s="1"/>
  <c r="F39" i="25"/>
  <c r="G39" i="25" s="1"/>
  <c r="B39" i="25"/>
  <c r="F31" i="40"/>
  <c r="B31" i="40"/>
  <c r="B40" i="3"/>
  <c r="F40" i="3"/>
  <c r="H40" i="3" s="1"/>
  <c r="B114" i="13"/>
  <c r="H113" i="13"/>
  <c r="I113" i="13"/>
  <c r="E114" i="13"/>
  <c r="F114" i="13" s="1"/>
  <c r="I31" i="13" l="1"/>
  <c r="G41" i="8"/>
  <c r="E32" i="13"/>
  <c r="F32" i="13" s="1"/>
  <c r="B32" i="13"/>
  <c r="H35" i="31"/>
  <c r="G34" i="30"/>
  <c r="G35" i="29"/>
  <c r="G35" i="28"/>
  <c r="G36" i="27"/>
  <c r="H39" i="25"/>
  <c r="H37" i="24"/>
  <c r="G38" i="23"/>
  <c r="G39" i="22"/>
  <c r="G42" i="11"/>
  <c r="G44" i="10"/>
  <c r="E43" i="9"/>
  <c r="F43" i="9" s="1"/>
  <c r="H43" i="9" s="1"/>
  <c r="H43" i="7"/>
  <c r="G41" i="6"/>
  <c r="G40" i="5"/>
  <c r="G40" i="4"/>
  <c r="G40" i="3"/>
  <c r="G32" i="44"/>
  <c r="D33" i="44"/>
  <c r="H32" i="44"/>
  <c r="G32" i="38"/>
  <c r="I32" i="38" s="1"/>
  <c r="D37" i="27"/>
  <c r="G31" i="42"/>
  <c r="I31" i="42" s="1"/>
  <c r="D33" i="45"/>
  <c r="G32" i="45"/>
  <c r="H32" i="45"/>
  <c r="D32" i="41"/>
  <c r="E32" i="41"/>
  <c r="D32" i="40"/>
  <c r="E32" i="40"/>
  <c r="D41" i="4"/>
  <c r="E41" i="4"/>
  <c r="I42" i="9"/>
  <c r="D42" i="8"/>
  <c r="D41" i="5"/>
  <c r="D44" i="7"/>
  <c r="E44" i="7"/>
  <c r="D33" i="39"/>
  <c r="E33" i="39"/>
  <c r="G31" i="41"/>
  <c r="D34" i="37"/>
  <c r="E34" i="37"/>
  <c r="I31" i="46"/>
  <c r="H31" i="40"/>
  <c r="D40" i="22"/>
  <c r="D36" i="28"/>
  <c r="E36" i="28"/>
  <c r="B43" i="9"/>
  <c r="D43" i="11"/>
  <c r="H31" i="41"/>
  <c r="D45" i="10"/>
  <c r="E45" i="10"/>
  <c r="D35" i="30"/>
  <c r="E35" i="30"/>
  <c r="D39" i="23"/>
  <c r="D41" i="3"/>
  <c r="D36" i="31"/>
  <c r="E36" i="31"/>
  <c r="D38" i="24"/>
  <c r="E38" i="24"/>
  <c r="D31" i="43"/>
  <c r="E31" i="43"/>
  <c r="D36" i="29"/>
  <c r="E36" i="29"/>
  <c r="G31" i="40"/>
  <c r="D40" i="25"/>
  <c r="D32" i="42"/>
  <c r="E32" i="42"/>
  <c r="H32" i="39"/>
  <c r="I32" i="39" s="1"/>
  <c r="G30" i="43"/>
  <c r="I30" i="43" s="1"/>
  <c r="H33" i="37"/>
  <c r="I33" i="37" s="1"/>
  <c r="D33" i="38"/>
  <c r="E33" i="38"/>
  <c r="D42" i="6"/>
  <c r="F32" i="46"/>
  <c r="G32" i="46" s="1"/>
  <c r="B32" i="46"/>
  <c r="J113" i="13"/>
  <c r="G114" i="13"/>
  <c r="D115" i="13"/>
  <c r="E115" i="13" s="1"/>
  <c r="I32" i="44" l="1"/>
  <c r="H32" i="13"/>
  <c r="D33" i="13"/>
  <c r="G32" i="13"/>
  <c r="E40" i="25"/>
  <c r="F40" i="25" s="1"/>
  <c r="H40" i="25" s="1"/>
  <c r="E39" i="23"/>
  <c r="F39" i="23" s="1"/>
  <c r="G39" i="23" s="1"/>
  <c r="E40" i="22"/>
  <c r="F40" i="22" s="1"/>
  <c r="H40" i="22" s="1"/>
  <c r="E43" i="11"/>
  <c r="F43" i="11" s="1"/>
  <c r="G43" i="11" s="1"/>
  <c r="G43" i="9"/>
  <c r="E42" i="8"/>
  <c r="F42" i="8" s="1"/>
  <c r="H42" i="8" s="1"/>
  <c r="E42" i="6"/>
  <c r="F42" i="6" s="1"/>
  <c r="H42" i="6" s="1"/>
  <c r="E41" i="5"/>
  <c r="F41" i="5" s="1"/>
  <c r="H41" i="5" s="1"/>
  <c r="E41" i="3"/>
  <c r="F41" i="3" s="1"/>
  <c r="H41" i="3" s="1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H37" i="27" s="1"/>
  <c r="I36" i="27"/>
  <c r="F31" i="43"/>
  <c r="B31" i="43"/>
  <c r="B35" i="30"/>
  <c r="F35" i="30"/>
  <c r="H35" i="30" s="1"/>
  <c r="F32" i="42"/>
  <c r="G32" i="42" s="1"/>
  <c r="B32" i="42"/>
  <c r="B40" i="25"/>
  <c r="B43" i="11"/>
  <c r="B36" i="28"/>
  <c r="F36" i="28"/>
  <c r="G36" i="28" s="1"/>
  <c r="B34" i="37"/>
  <c r="F34" i="37"/>
  <c r="G34" i="37" s="1"/>
  <c r="I40" i="4"/>
  <c r="F33" i="38"/>
  <c r="H33" i="38" s="1"/>
  <c r="B33" i="38"/>
  <c r="B36" i="29"/>
  <c r="F36" i="29"/>
  <c r="H36" i="29" s="1"/>
  <c r="B41" i="3"/>
  <c r="F45" i="10"/>
  <c r="G45" i="10" s="1"/>
  <c r="B45" i="10"/>
  <c r="D44" i="9"/>
  <c r="B33" i="39"/>
  <c r="F33" i="39"/>
  <c r="G33" i="39" s="1"/>
  <c r="B42" i="8"/>
  <c r="D33" i="46"/>
  <c r="I35" i="29"/>
  <c r="I35" i="31"/>
  <c r="I40" i="3"/>
  <c r="I38" i="23"/>
  <c r="I34" i="30"/>
  <c r="I42" i="11"/>
  <c r="I31" i="40"/>
  <c r="F44" i="7"/>
  <c r="H44" i="7" s="1"/>
  <c r="B44" i="7"/>
  <c r="F41" i="4"/>
  <c r="G41" i="4" s="1"/>
  <c r="B41" i="4"/>
  <c r="B32" i="41"/>
  <c r="F32" i="41"/>
  <c r="H32" i="41" s="1"/>
  <c r="B33" i="45"/>
  <c r="B42" i="6"/>
  <c r="B36" i="31"/>
  <c r="F36" i="31"/>
  <c r="G36" i="31" s="1"/>
  <c r="B39" i="23"/>
  <c r="B40" i="22"/>
  <c r="B32" i="40"/>
  <c r="F32" i="40"/>
  <c r="F38" i="24"/>
  <c r="H38" i="24" s="1"/>
  <c r="B38" i="24"/>
  <c r="I35" i="28"/>
  <c r="B41" i="5"/>
  <c r="E33" i="45"/>
  <c r="F33" i="45" s="1"/>
  <c r="B115" i="13"/>
  <c r="F115" i="13"/>
  <c r="H114" i="13"/>
  <c r="I114" i="13"/>
  <c r="I32" i="13" l="1"/>
  <c r="E33" i="13"/>
  <c r="F33" i="13" s="1"/>
  <c r="B33" i="13"/>
  <c r="H36" i="31"/>
  <c r="G35" i="30"/>
  <c r="G36" i="29"/>
  <c r="H36" i="28"/>
  <c r="G37" i="27"/>
  <c r="G40" i="25"/>
  <c r="G38" i="24"/>
  <c r="H39" i="23"/>
  <c r="G40" i="22"/>
  <c r="H43" i="11"/>
  <c r="H45" i="10"/>
  <c r="E44" i="9"/>
  <c r="F44" i="9" s="1"/>
  <c r="H44" i="9" s="1"/>
  <c r="G42" i="8"/>
  <c r="G44" i="7"/>
  <c r="G42" i="6"/>
  <c r="G41" i="5"/>
  <c r="H41" i="4"/>
  <c r="G41" i="3"/>
  <c r="G33" i="38"/>
  <c r="I33" i="38" s="1"/>
  <c r="D34" i="44"/>
  <c r="G33" i="44"/>
  <c r="H33" i="44"/>
  <c r="D38" i="27"/>
  <c r="E38" i="27"/>
  <c r="D34" i="45"/>
  <c r="E34" i="45" s="1"/>
  <c r="H33" i="45"/>
  <c r="G33" i="45"/>
  <c r="D33" i="40"/>
  <c r="E33" i="40"/>
  <c r="D37" i="31"/>
  <c r="D37" i="28"/>
  <c r="E37" i="28"/>
  <c r="G32" i="40"/>
  <c r="D33" i="41"/>
  <c r="E33" i="41"/>
  <c r="D42" i="4"/>
  <c r="B33" i="46"/>
  <c r="D34" i="39"/>
  <c r="E34" i="39"/>
  <c r="I43" i="9"/>
  <c r="D37" i="29"/>
  <c r="H34" i="37"/>
  <c r="I34" i="37" s="1"/>
  <c r="D41" i="25"/>
  <c r="D33" i="42"/>
  <c r="E33" i="42"/>
  <c r="D32" i="43"/>
  <c r="E32" i="43"/>
  <c r="D41" i="22"/>
  <c r="D43" i="8"/>
  <c r="D39" i="24"/>
  <c r="G32" i="41"/>
  <c r="I32" i="41" s="1"/>
  <c r="E33" i="46"/>
  <c r="F33" i="46" s="1"/>
  <c r="D46" i="10"/>
  <c r="E46" i="10"/>
  <c r="D34" i="38"/>
  <c r="E34" i="38"/>
  <c r="D44" i="11"/>
  <c r="D36" i="30"/>
  <c r="H31" i="43"/>
  <c r="D42" i="3"/>
  <c r="E42" i="3"/>
  <c r="D35" i="37"/>
  <c r="E35" i="37" s="1"/>
  <c r="D42" i="5"/>
  <c r="E42" i="5"/>
  <c r="H32" i="40"/>
  <c r="D40" i="23"/>
  <c r="D43" i="6"/>
  <c r="E43" i="6"/>
  <c r="D45" i="7"/>
  <c r="E45" i="7"/>
  <c r="H33" i="39"/>
  <c r="I33" i="39" s="1"/>
  <c r="B44" i="9"/>
  <c r="H32" i="42"/>
  <c r="I32" i="42" s="1"/>
  <c r="G31" i="43"/>
  <c r="D116" i="13"/>
  <c r="G115" i="13"/>
  <c r="J114" i="13"/>
  <c r="G33" i="13" l="1"/>
  <c r="H33" i="13"/>
  <c r="D34" i="13"/>
  <c r="E37" i="31"/>
  <c r="F37" i="31" s="1"/>
  <c r="H37" i="31" s="1"/>
  <c r="E36" i="30"/>
  <c r="F36" i="30" s="1"/>
  <c r="H36" i="30" s="1"/>
  <c r="E37" i="29"/>
  <c r="F37" i="29" s="1"/>
  <c r="H37" i="29" s="1"/>
  <c r="E41" i="25"/>
  <c r="F41" i="25" s="1"/>
  <c r="G41" i="25" s="1"/>
  <c r="E39" i="24"/>
  <c r="F39" i="24" s="1"/>
  <c r="G39" i="24" s="1"/>
  <c r="E40" i="23"/>
  <c r="F40" i="23" s="1"/>
  <c r="H40" i="23" s="1"/>
  <c r="E41" i="22"/>
  <c r="F41" i="22" s="1"/>
  <c r="E44" i="11"/>
  <c r="F44" i="11" s="1"/>
  <c r="H44" i="11" s="1"/>
  <c r="G44" i="9"/>
  <c r="E43" i="8"/>
  <c r="F43" i="8" s="1"/>
  <c r="H43" i="8" s="1"/>
  <c r="E42" i="4"/>
  <c r="F42" i="4" s="1"/>
  <c r="G42" i="4" s="1"/>
  <c r="I33" i="44"/>
  <c r="E34" i="44"/>
  <c r="F34" i="44" s="1"/>
  <c r="B34" i="44"/>
  <c r="I36" i="29"/>
  <c r="I32" i="40"/>
  <c r="I37" i="27"/>
  <c r="I36" i="28"/>
  <c r="I41" i="3"/>
  <c r="I31" i="43"/>
  <c r="F38" i="27"/>
  <c r="H38" i="27" s="1"/>
  <c r="B38" i="27"/>
  <c r="D34" i="46"/>
  <c r="E34" i="46" s="1"/>
  <c r="H33" i="46"/>
  <c r="G33" i="46"/>
  <c r="I41" i="5"/>
  <c r="B44" i="11"/>
  <c r="B39" i="24"/>
  <c r="B43" i="8"/>
  <c r="B41" i="22"/>
  <c r="B33" i="42"/>
  <c r="F33" i="42"/>
  <c r="G33" i="42" s="1"/>
  <c r="B41" i="25"/>
  <c r="B37" i="29"/>
  <c r="F34" i="39"/>
  <c r="G34" i="39" s="1"/>
  <c r="B34" i="39"/>
  <c r="I41" i="4"/>
  <c r="B37" i="31"/>
  <c r="I33" i="45"/>
  <c r="B40" i="23"/>
  <c r="B36" i="30"/>
  <c r="D45" i="9"/>
  <c r="E45" i="9"/>
  <c r="F45" i="7"/>
  <c r="H45" i="7" s="1"/>
  <c r="B45" i="7"/>
  <c r="I42" i="6"/>
  <c r="I39" i="23"/>
  <c r="I45" i="10"/>
  <c r="B37" i="28"/>
  <c r="F37" i="28"/>
  <c r="H37" i="28" s="1"/>
  <c r="B35" i="37"/>
  <c r="F35" i="37"/>
  <c r="H35" i="37" s="1"/>
  <c r="I44" i="7"/>
  <c r="F43" i="6"/>
  <c r="H43" i="6" s="1"/>
  <c r="B43" i="6"/>
  <c r="F42" i="5"/>
  <c r="H42" i="5" s="1"/>
  <c r="B42" i="5"/>
  <c r="B42" i="3"/>
  <c r="F42" i="3"/>
  <c r="H42" i="3" s="1"/>
  <c r="I35" i="30"/>
  <c r="I43" i="11"/>
  <c r="F34" i="38"/>
  <c r="G34" i="38" s="1"/>
  <c r="B34" i="38"/>
  <c r="B46" i="10"/>
  <c r="F46" i="10"/>
  <c r="H46" i="10" s="1"/>
  <c r="I38" i="24"/>
  <c r="I42" i="8"/>
  <c r="I40" i="22"/>
  <c r="B32" i="43"/>
  <c r="F32" i="43"/>
  <c r="G32" i="43" s="1"/>
  <c r="I40" i="25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I33" i="13" l="1"/>
  <c r="E34" i="13"/>
  <c r="F34" i="13" s="1"/>
  <c r="B34" i="13"/>
  <c r="G37" i="31"/>
  <c r="G36" i="30"/>
  <c r="G37" i="29"/>
  <c r="G37" i="28"/>
  <c r="G38" i="27"/>
  <c r="H41" i="25"/>
  <c r="H39" i="24"/>
  <c r="G40" i="23"/>
  <c r="H41" i="22"/>
  <c r="G41" i="22"/>
  <c r="G44" i="11"/>
  <c r="G46" i="10"/>
  <c r="G43" i="8"/>
  <c r="G45" i="7"/>
  <c r="G43" i="6"/>
  <c r="G42" i="5"/>
  <c r="H42" i="4"/>
  <c r="G42" i="3"/>
  <c r="G34" i="44"/>
  <c r="D35" i="44"/>
  <c r="H34" i="44"/>
  <c r="H33" i="41"/>
  <c r="I33" i="41" s="1"/>
  <c r="H34" i="38"/>
  <c r="I34" i="38" s="1"/>
  <c r="D39" i="27"/>
  <c r="I44" i="9"/>
  <c r="H33" i="42"/>
  <c r="I33" i="42" s="1"/>
  <c r="D34" i="40"/>
  <c r="E34" i="40"/>
  <c r="D43" i="5"/>
  <c r="D36" i="37"/>
  <c r="E36" i="37" s="1"/>
  <c r="D38" i="28"/>
  <c r="E38" i="28"/>
  <c r="D46" i="7"/>
  <c r="E46" i="7"/>
  <c r="B45" i="9"/>
  <c r="F45" i="9"/>
  <c r="H45" i="9" s="1"/>
  <c r="D41" i="23"/>
  <c r="E41" i="23"/>
  <c r="H34" i="39"/>
  <c r="I34" i="39" s="1"/>
  <c r="I33" i="46"/>
  <c r="D38" i="29"/>
  <c r="E38" i="29"/>
  <c r="D42" i="22"/>
  <c r="E42" i="22"/>
  <c r="D35" i="45"/>
  <c r="E35" i="45" s="1"/>
  <c r="D43" i="4"/>
  <c r="E43" i="4"/>
  <c r="H34" i="45"/>
  <c r="I34" i="45" s="1"/>
  <c r="H33" i="40"/>
  <c r="D34" i="41"/>
  <c r="E34" i="41"/>
  <c r="D47" i="10"/>
  <c r="D35" i="38"/>
  <c r="E35" i="38" s="1"/>
  <c r="D43" i="3"/>
  <c r="G35" i="37"/>
  <c r="I35" i="37" s="1"/>
  <c r="D42" i="25"/>
  <c r="D44" i="8"/>
  <c r="E44" i="8"/>
  <c r="D45" i="11"/>
  <c r="E45" i="11"/>
  <c r="D33" i="43"/>
  <c r="E33" i="43"/>
  <c r="D35" i="39"/>
  <c r="E35" i="39"/>
  <c r="D40" i="24"/>
  <c r="E40" i="24"/>
  <c r="G33" i="40"/>
  <c r="H32" i="43"/>
  <c r="I32" i="43" s="1"/>
  <c r="D44" i="6"/>
  <c r="D37" i="30"/>
  <c r="D38" i="31"/>
  <c r="D34" i="42"/>
  <c r="E34" i="42" s="1"/>
  <c r="B34" i="46"/>
  <c r="F34" i="46"/>
  <c r="G34" i="46" s="1"/>
  <c r="J115" i="13"/>
  <c r="G116" i="13"/>
  <c r="D117" i="13"/>
  <c r="E117" i="13" s="1"/>
  <c r="G34" i="13" l="1"/>
  <c r="H34" i="13"/>
  <c r="D35" i="13"/>
  <c r="I34" i="44"/>
  <c r="E38" i="31"/>
  <c r="F38" i="31" s="1"/>
  <c r="G38" i="31" s="1"/>
  <c r="E37" i="30"/>
  <c r="E42" i="25"/>
  <c r="F42" i="25" s="1"/>
  <c r="H42" i="25" s="1"/>
  <c r="E47" i="10"/>
  <c r="F47" i="10" s="1"/>
  <c r="G47" i="10" s="1"/>
  <c r="G45" i="9"/>
  <c r="E44" i="6"/>
  <c r="F44" i="6" s="1"/>
  <c r="H44" i="6" s="1"/>
  <c r="E43" i="5"/>
  <c r="F43" i="5" s="1"/>
  <c r="G43" i="5" s="1"/>
  <c r="E43" i="3"/>
  <c r="F43" i="3" s="1"/>
  <c r="H43" i="3" s="1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H39" i="27" s="1"/>
  <c r="B44" i="6"/>
  <c r="B35" i="38"/>
  <c r="F35" i="38"/>
  <c r="H35" i="38" s="1"/>
  <c r="B46" i="7"/>
  <c r="F46" i="7"/>
  <c r="H46" i="7" s="1"/>
  <c r="B34" i="40"/>
  <c r="F34" i="40"/>
  <c r="F34" i="42"/>
  <c r="G34" i="42" s="1"/>
  <c r="B34" i="42"/>
  <c r="B38" i="31"/>
  <c r="F37" i="30"/>
  <c r="H37" i="30" s="1"/>
  <c r="B37" i="30"/>
  <c r="B33" i="43"/>
  <c r="F33" i="43"/>
  <c r="H33" i="43" s="1"/>
  <c r="B42" i="25"/>
  <c r="I42" i="3"/>
  <c r="B47" i="10"/>
  <c r="B38" i="29"/>
  <c r="F38" i="29"/>
  <c r="H38" i="29" s="1"/>
  <c r="F36" i="37"/>
  <c r="H36" i="37" s="1"/>
  <c r="B36" i="37"/>
  <c r="B43" i="5"/>
  <c r="D35" i="46"/>
  <c r="E35" i="46" s="1"/>
  <c r="B43" i="4"/>
  <c r="F43" i="4"/>
  <c r="H43" i="4" s="1"/>
  <c r="H34" i="46"/>
  <c r="I34" i="46" s="1"/>
  <c r="I43" i="6"/>
  <c r="B43" i="3"/>
  <c r="I46" i="10"/>
  <c r="B34" i="41"/>
  <c r="F34" i="41"/>
  <c r="B35" i="45"/>
  <c r="F35" i="45"/>
  <c r="G35" i="45" s="1"/>
  <c r="I37" i="29"/>
  <c r="I37" i="28"/>
  <c r="I42" i="5"/>
  <c r="F40" i="24"/>
  <c r="H40" i="24" s="1"/>
  <c r="B40" i="24"/>
  <c r="F42" i="22"/>
  <c r="H42" i="22" s="1"/>
  <c r="B42" i="22"/>
  <c r="B41" i="23"/>
  <c r="F41" i="23"/>
  <c r="H41" i="23" s="1"/>
  <c r="I37" i="31"/>
  <c r="I36" i="30"/>
  <c r="I39" i="24"/>
  <c r="F35" i="39"/>
  <c r="B35" i="39"/>
  <c r="B45" i="11"/>
  <c r="F45" i="11"/>
  <c r="H45" i="11" s="1"/>
  <c r="F44" i="8"/>
  <c r="H44" i="8" s="1"/>
  <c r="B44" i="8"/>
  <c r="I33" i="40"/>
  <c r="I42" i="4"/>
  <c r="D46" i="9"/>
  <c r="B38" i="28"/>
  <c r="F38" i="28"/>
  <c r="G38" i="28" s="1"/>
  <c r="I116" i="13"/>
  <c r="H116" i="13"/>
  <c r="B117" i="13"/>
  <c r="F117" i="13"/>
  <c r="I34" i="13" l="1"/>
  <c r="H43" i="5"/>
  <c r="B35" i="13"/>
  <c r="E35" i="13"/>
  <c r="F35" i="13" s="1"/>
  <c r="H35" i="13" s="1"/>
  <c r="H38" i="31"/>
  <c r="G37" i="30"/>
  <c r="G38" i="29"/>
  <c r="H38" i="28"/>
  <c r="G39" i="27"/>
  <c r="G42" i="25"/>
  <c r="G40" i="24"/>
  <c r="G41" i="23"/>
  <c r="G42" i="22"/>
  <c r="G45" i="11"/>
  <c r="H47" i="10"/>
  <c r="E46" i="9"/>
  <c r="F46" i="9" s="1"/>
  <c r="H46" i="9" s="1"/>
  <c r="G44" i="8"/>
  <c r="G46" i="7"/>
  <c r="G44" i="6"/>
  <c r="G43" i="4"/>
  <c r="G43" i="3"/>
  <c r="G35" i="44"/>
  <c r="I35" i="44" s="1"/>
  <c r="D36" i="44"/>
  <c r="G36" i="37"/>
  <c r="I36" i="37" s="1"/>
  <c r="H34" i="42"/>
  <c r="I34" i="42" s="1"/>
  <c r="D40" i="27"/>
  <c r="D46" i="11"/>
  <c r="E46" i="11"/>
  <c r="D35" i="41"/>
  <c r="E35" i="41"/>
  <c r="D35" i="40"/>
  <c r="E35" i="40"/>
  <c r="D47" i="7"/>
  <c r="E47" i="7"/>
  <c r="D36" i="39"/>
  <c r="E36" i="39"/>
  <c r="D42" i="23"/>
  <c r="E42" i="23"/>
  <c r="D39" i="29"/>
  <c r="D34" i="43"/>
  <c r="E34" i="43"/>
  <c r="D38" i="30"/>
  <c r="E38" i="30"/>
  <c r="D43" i="22"/>
  <c r="E43" i="22"/>
  <c r="D44" i="3"/>
  <c r="E44" i="3"/>
  <c r="D39" i="28"/>
  <c r="E39" i="28"/>
  <c r="B46" i="9"/>
  <c r="G35" i="39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E48" i="10"/>
  <c r="D48" i="10"/>
  <c r="I45" i="9"/>
  <c r="D45" i="8"/>
  <c r="E45" i="8"/>
  <c r="H35" i="39"/>
  <c r="H35" i="45"/>
  <c r="I35" i="45" s="1"/>
  <c r="G34" i="41"/>
  <c r="D44" i="4"/>
  <c r="E44" i="4"/>
  <c r="D44" i="5"/>
  <c r="E44" i="5"/>
  <c r="D37" i="37"/>
  <c r="E37" i="37" s="1"/>
  <c r="D43" i="25"/>
  <c r="D39" i="31"/>
  <c r="D35" i="42"/>
  <c r="E35" i="42"/>
  <c r="H34" i="40"/>
  <c r="G35" i="38"/>
  <c r="I35" i="38" s="1"/>
  <c r="D45" i="6"/>
  <c r="G117" i="13"/>
  <c r="D118" i="13"/>
  <c r="E118" i="13" s="1"/>
  <c r="J116" i="13"/>
  <c r="D36" i="13" l="1"/>
  <c r="G35" i="13"/>
  <c r="I35" i="13" s="1"/>
  <c r="E39" i="31"/>
  <c r="F39" i="31" s="1"/>
  <c r="H39" i="31" s="1"/>
  <c r="E39" i="29"/>
  <c r="F39" i="29" s="1"/>
  <c r="H39" i="29" s="1"/>
  <c r="E43" i="25"/>
  <c r="F43" i="25" s="1"/>
  <c r="G43" i="25" s="1"/>
  <c r="G46" i="9"/>
  <c r="E45" i="6"/>
  <c r="F45" i="6" s="1"/>
  <c r="H45" i="6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H40" i="27" s="1"/>
  <c r="F41" i="24"/>
  <c r="G41" i="24" s="1"/>
  <c r="B41" i="24"/>
  <c r="D47" i="9"/>
  <c r="E47" i="9"/>
  <c r="B34" i="43"/>
  <c r="F34" i="43"/>
  <c r="H34" i="43" s="1"/>
  <c r="F47" i="7"/>
  <c r="G47" i="7" s="1"/>
  <c r="B47" i="7"/>
  <c r="B45" i="6"/>
  <c r="B39" i="31"/>
  <c r="B43" i="25"/>
  <c r="B45" i="8"/>
  <c r="F45" i="8"/>
  <c r="H45" i="8" s="1"/>
  <c r="I42" i="22"/>
  <c r="F38" i="30"/>
  <c r="H38" i="30" s="1"/>
  <c r="B38" i="30"/>
  <c r="B36" i="38"/>
  <c r="F36" i="38"/>
  <c r="G36" i="38" s="1"/>
  <c r="D36" i="46"/>
  <c r="B39" i="28"/>
  <c r="F39" i="28"/>
  <c r="H39" i="28" s="1"/>
  <c r="F35" i="40"/>
  <c r="H35" i="40" s="1"/>
  <c r="B35" i="40"/>
  <c r="F35" i="42"/>
  <c r="H35" i="42" s="1"/>
  <c r="B35" i="42"/>
  <c r="I38" i="31"/>
  <c r="I43" i="5"/>
  <c r="B44" i="4"/>
  <c r="F44" i="4"/>
  <c r="H44" i="4" s="1"/>
  <c r="H35" i="46"/>
  <c r="I35" i="46" s="1"/>
  <c r="F36" i="45"/>
  <c r="H36" i="45" s="1"/>
  <c r="B36" i="45"/>
  <c r="I40" i="24"/>
  <c r="B43" i="22"/>
  <c r="F43" i="22"/>
  <c r="H43" i="22" s="1"/>
  <c r="I38" i="29"/>
  <c r="B42" i="23"/>
  <c r="F42" i="23"/>
  <c r="H42" i="23" s="1"/>
  <c r="F36" i="39"/>
  <c r="G36" i="39" s="1"/>
  <c r="B36" i="39"/>
  <c r="B37" i="37"/>
  <c r="F37" i="37"/>
  <c r="H37" i="37" s="1"/>
  <c r="F44" i="3"/>
  <c r="H44" i="3" s="1"/>
  <c r="B44" i="3"/>
  <c r="B39" i="29"/>
  <c r="F44" i="5"/>
  <c r="H44" i="5" s="1"/>
  <c r="B44" i="5"/>
  <c r="F48" i="10"/>
  <c r="H48" i="10" s="1"/>
  <c r="B48" i="10"/>
  <c r="B35" i="41"/>
  <c r="F35" i="41"/>
  <c r="G35" i="41" s="1"/>
  <c r="B46" i="11"/>
  <c r="F46" i="11"/>
  <c r="H46" i="11" s="1"/>
  <c r="F118" i="13"/>
  <c r="B118" i="13"/>
  <c r="H117" i="13"/>
  <c r="I117" i="13"/>
  <c r="E36" i="13" l="1"/>
  <c r="F36" i="13" s="1"/>
  <c r="B36" i="13"/>
  <c r="G39" i="31"/>
  <c r="G38" i="30"/>
  <c r="G39" i="29"/>
  <c r="G39" i="28"/>
  <c r="G40" i="27"/>
  <c r="H43" i="25"/>
  <c r="H41" i="24"/>
  <c r="G42" i="23"/>
  <c r="G43" i="22"/>
  <c r="G46" i="11"/>
  <c r="G48" i="10"/>
  <c r="G45" i="8"/>
  <c r="H47" i="7"/>
  <c r="G45" i="6"/>
  <c r="G44" i="5"/>
  <c r="G44" i="4"/>
  <c r="G44" i="3"/>
  <c r="D37" i="44"/>
  <c r="H36" i="44"/>
  <c r="I36" i="44" s="1"/>
  <c r="H35" i="41"/>
  <c r="I35" i="41" s="1"/>
  <c r="H36" i="39"/>
  <c r="I36" i="39" s="1"/>
  <c r="G34" i="43"/>
  <c r="I34" i="43" s="1"/>
  <c r="E41" i="27"/>
  <c r="D41" i="27"/>
  <c r="G37" i="37"/>
  <c r="I37" i="37" s="1"/>
  <c r="G36" i="45"/>
  <c r="I36" i="45" s="1"/>
  <c r="B36" i="46"/>
  <c r="D46" i="6"/>
  <c r="E46" i="6"/>
  <c r="B47" i="9"/>
  <c r="F47" i="9"/>
  <c r="H47" i="9" s="1"/>
  <c r="D45" i="5"/>
  <c r="D45" i="3"/>
  <c r="D37" i="39"/>
  <c r="E37" i="39"/>
  <c r="D44" i="22"/>
  <c r="E44" i="22"/>
  <c r="D45" i="4"/>
  <c r="E45" i="4"/>
  <c r="D40" i="28"/>
  <c r="E40" i="28"/>
  <c r="D37" i="38"/>
  <c r="E37" i="38" s="1"/>
  <c r="D46" i="8"/>
  <c r="D40" i="31"/>
  <c r="E40" i="31"/>
  <c r="D48" i="7"/>
  <c r="E48" i="7"/>
  <c r="D36" i="40"/>
  <c r="E36" i="40" s="1"/>
  <c r="D38" i="37"/>
  <c r="E38" i="37" s="1"/>
  <c r="D43" i="23"/>
  <c r="G35" i="40"/>
  <c r="I35" i="40" s="1"/>
  <c r="I46" i="9"/>
  <c r="D47" i="11"/>
  <c r="E47" i="11"/>
  <c r="D36" i="42"/>
  <c r="E36" i="42" s="1"/>
  <c r="D36" i="41"/>
  <c r="E36" i="41"/>
  <c r="D49" i="10"/>
  <c r="E49" i="10"/>
  <c r="D40" i="29"/>
  <c r="E40" i="29"/>
  <c r="D37" i="45"/>
  <c r="G35" i="42"/>
  <c r="I35" i="42" s="1"/>
  <c r="E36" i="46"/>
  <c r="F36" i="46" s="1"/>
  <c r="H36" i="38"/>
  <c r="I36" i="38" s="1"/>
  <c r="D39" i="30"/>
  <c r="D44" i="25"/>
  <c r="D35" i="43"/>
  <c r="E35" i="43"/>
  <c r="D42" i="24"/>
  <c r="E42" i="24"/>
  <c r="J117" i="13"/>
  <c r="G118" i="13"/>
  <c r="D119" i="13"/>
  <c r="G36" i="13" l="1"/>
  <c r="H36" i="13"/>
  <c r="D37" i="13"/>
  <c r="E39" i="30"/>
  <c r="F39" i="30" s="1"/>
  <c r="H39" i="30" s="1"/>
  <c r="E44" i="25"/>
  <c r="F44" i="25" s="1"/>
  <c r="H44" i="25" s="1"/>
  <c r="E43" i="23"/>
  <c r="F43" i="23" s="1"/>
  <c r="G43" i="23" s="1"/>
  <c r="G47" i="9"/>
  <c r="E46" i="8"/>
  <c r="F46" i="8" s="1"/>
  <c r="H46" i="8" s="1"/>
  <c r="E45" i="5"/>
  <c r="F45" i="5" s="1"/>
  <c r="H45" i="5" s="1"/>
  <c r="E45" i="3"/>
  <c r="F45" i="3" s="1"/>
  <c r="H45" i="3" s="1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H41" i="27" s="1"/>
  <c r="B41" i="27"/>
  <c r="D37" i="46"/>
  <c r="H36" i="46"/>
  <c r="G36" i="46"/>
  <c r="B37" i="38"/>
  <c r="F37" i="38"/>
  <c r="H37" i="38" s="1"/>
  <c r="I38" i="30"/>
  <c r="F36" i="42"/>
  <c r="G36" i="42" s="1"/>
  <c r="B36" i="42"/>
  <c r="B43" i="23"/>
  <c r="B45" i="3"/>
  <c r="F36" i="40"/>
  <c r="G36" i="40" s="1"/>
  <c r="B36" i="40"/>
  <c r="B46" i="8"/>
  <c r="B42" i="24"/>
  <c r="F42" i="24"/>
  <c r="H42" i="24" s="1"/>
  <c r="F35" i="43"/>
  <c r="H35" i="43" s="1"/>
  <c r="B35" i="43"/>
  <c r="B44" i="25"/>
  <c r="B37" i="45"/>
  <c r="I39" i="29"/>
  <c r="F36" i="41"/>
  <c r="G36" i="41" s="1"/>
  <c r="B36" i="41"/>
  <c r="I47" i="7"/>
  <c r="F40" i="28"/>
  <c r="G40" i="28" s="1"/>
  <c r="B40" i="28"/>
  <c r="F45" i="4"/>
  <c r="G45" i="4" s="1"/>
  <c r="B45" i="4"/>
  <c r="F44" i="22"/>
  <c r="H44" i="22" s="1"/>
  <c r="B44" i="22"/>
  <c r="F37" i="39"/>
  <c r="H37" i="39" s="1"/>
  <c r="B37" i="39"/>
  <c r="B45" i="5"/>
  <c r="B46" i="6"/>
  <c r="F46" i="6"/>
  <c r="H46" i="6" s="1"/>
  <c r="B39" i="30"/>
  <c r="I41" i="24"/>
  <c r="E37" i="45"/>
  <c r="F37" i="45" s="1"/>
  <c r="B40" i="29"/>
  <c r="F40" i="29"/>
  <c r="H40" i="29" s="1"/>
  <c r="F49" i="10"/>
  <c r="G49" i="10" s="1"/>
  <c r="B49" i="10"/>
  <c r="F47" i="11"/>
  <c r="G47" i="11" s="1"/>
  <c r="B47" i="11"/>
  <c r="B38" i="37"/>
  <c r="F38" i="37"/>
  <c r="F48" i="7"/>
  <c r="H48" i="7" s="1"/>
  <c r="B48" i="7"/>
  <c r="B40" i="31"/>
  <c r="F40" i="31"/>
  <c r="G40" i="31" s="1"/>
  <c r="I39" i="28"/>
  <c r="I44" i="4"/>
  <c r="E48" i="9"/>
  <c r="D48" i="9"/>
  <c r="I45" i="6"/>
  <c r="B119" i="13"/>
  <c r="E119" i="13"/>
  <c r="F119" i="13" s="1"/>
  <c r="H118" i="13"/>
  <c r="I118" i="13"/>
  <c r="I36" i="13" l="1"/>
  <c r="E37" i="13"/>
  <c r="F37" i="13" s="1"/>
  <c r="B37" i="13"/>
  <c r="H40" i="31"/>
  <c r="G39" i="30"/>
  <c r="G40" i="29"/>
  <c r="H40" i="28"/>
  <c r="G41" i="27"/>
  <c r="G44" i="25"/>
  <c r="G42" i="24"/>
  <c r="H43" i="23"/>
  <c r="G44" i="22"/>
  <c r="H47" i="11"/>
  <c r="H49" i="10"/>
  <c r="G46" i="8"/>
  <c r="G48" i="7"/>
  <c r="G46" i="6"/>
  <c r="G45" i="5"/>
  <c r="H45" i="4"/>
  <c r="G45" i="3"/>
  <c r="H37" i="44"/>
  <c r="G37" i="44"/>
  <c r="D38" i="44"/>
  <c r="G37" i="38"/>
  <c r="I37" i="38" s="1"/>
  <c r="E42" i="27"/>
  <c r="D42" i="27"/>
  <c r="G37" i="39"/>
  <c r="I37" i="39" s="1"/>
  <c r="G35" i="43"/>
  <c r="I35" i="43" s="1"/>
  <c r="D38" i="45"/>
  <c r="E38" i="45" s="1"/>
  <c r="H37" i="45"/>
  <c r="G37" i="45"/>
  <c r="D39" i="37"/>
  <c r="E39" i="37"/>
  <c r="D41" i="29"/>
  <c r="E41" i="29"/>
  <c r="D44" i="23"/>
  <c r="J118" i="13"/>
  <c r="I47" i="9"/>
  <c r="G38" i="37"/>
  <c r="D48" i="11"/>
  <c r="D40" i="30"/>
  <c r="D46" i="5"/>
  <c r="D38" i="39"/>
  <c r="E38" i="39"/>
  <c r="D46" i="4"/>
  <c r="D43" i="24"/>
  <c r="E43" i="24"/>
  <c r="I36" i="46"/>
  <c r="D37" i="41"/>
  <c r="E37" i="41"/>
  <c r="D45" i="25"/>
  <c r="E45" i="25"/>
  <c r="D47" i="8"/>
  <c r="E47" i="8"/>
  <c r="D37" i="40"/>
  <c r="E37" i="40"/>
  <c r="D37" i="42"/>
  <c r="E37" i="42"/>
  <c r="F48" i="9"/>
  <c r="H48" i="9" s="1"/>
  <c r="B48" i="9"/>
  <c r="D49" i="7"/>
  <c r="D47" i="6"/>
  <c r="H36" i="40"/>
  <c r="I36" i="40" s="1"/>
  <c r="D46" i="3"/>
  <c r="E46" i="3"/>
  <c r="D38" i="38"/>
  <c r="E38" i="38"/>
  <c r="B37" i="46"/>
  <c r="D41" i="31"/>
  <c r="H38" i="37"/>
  <c r="D50" i="10"/>
  <c r="E50" i="10"/>
  <c r="D45" i="22"/>
  <c r="E45" i="22"/>
  <c r="D41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I37" i="44" l="1"/>
  <c r="G37" i="13"/>
  <c r="D38" i="13"/>
  <c r="H37" i="13"/>
  <c r="E41" i="31"/>
  <c r="F41" i="31" s="1"/>
  <c r="H41" i="31" s="1"/>
  <c r="E40" i="30"/>
  <c r="F40" i="30" s="1"/>
  <c r="H40" i="30" s="1"/>
  <c r="E44" i="23"/>
  <c r="F44" i="23" s="1"/>
  <c r="H44" i="23" s="1"/>
  <c r="E48" i="11"/>
  <c r="F48" i="11" s="1"/>
  <c r="H48" i="11" s="1"/>
  <c r="G48" i="9"/>
  <c r="E49" i="7"/>
  <c r="F49" i="7" s="1"/>
  <c r="G49" i="7" s="1"/>
  <c r="E47" i="6"/>
  <c r="F47" i="6" s="1"/>
  <c r="H47" i="6" s="1"/>
  <c r="E46" i="5"/>
  <c r="F46" i="5" s="1"/>
  <c r="G46" i="5" s="1"/>
  <c r="E46" i="4"/>
  <c r="F46" i="4" s="1"/>
  <c r="H46" i="4" s="1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G42" i="27" s="1"/>
  <c r="B42" i="27"/>
  <c r="I43" i="23"/>
  <c r="I41" i="27"/>
  <c r="D38" i="46"/>
  <c r="E38" i="46" s="1"/>
  <c r="H37" i="46"/>
  <c r="G37" i="46"/>
  <c r="B46" i="3"/>
  <c r="F46" i="3"/>
  <c r="H46" i="3" s="1"/>
  <c r="B40" i="30"/>
  <c r="B41" i="28"/>
  <c r="F41" i="28"/>
  <c r="H41" i="28" s="1"/>
  <c r="F38" i="38"/>
  <c r="H38" i="38" s="1"/>
  <c r="B38" i="38"/>
  <c r="I45" i="3"/>
  <c r="D49" i="9"/>
  <c r="E49" i="9"/>
  <c r="B37" i="40"/>
  <c r="F37" i="40"/>
  <c r="H37" i="40" s="1"/>
  <c r="B47" i="8"/>
  <c r="F47" i="8"/>
  <c r="G47" i="8" s="1"/>
  <c r="B43" i="24"/>
  <c r="F43" i="24"/>
  <c r="H43" i="24" s="1"/>
  <c r="B38" i="39"/>
  <c r="F38" i="39"/>
  <c r="H38" i="39" s="1"/>
  <c r="B48" i="11"/>
  <c r="I37" i="45"/>
  <c r="B46" i="5"/>
  <c r="B44" i="23"/>
  <c r="B36" i="43"/>
  <c r="F36" i="43"/>
  <c r="G36" i="43" s="1"/>
  <c r="I40" i="28"/>
  <c r="B45" i="22"/>
  <c r="F45" i="22"/>
  <c r="H45" i="22" s="1"/>
  <c r="B50" i="10"/>
  <c r="F50" i="10"/>
  <c r="H50" i="10" s="1"/>
  <c r="B47" i="6"/>
  <c r="I48" i="7"/>
  <c r="B41" i="31"/>
  <c r="I46" i="6"/>
  <c r="B49" i="7"/>
  <c r="B37" i="42"/>
  <c r="F37" i="42"/>
  <c r="H37" i="42" s="1"/>
  <c r="F45" i="25"/>
  <c r="G45" i="25" s="1"/>
  <c r="B45" i="25"/>
  <c r="B37" i="41"/>
  <c r="F37" i="41"/>
  <c r="H37" i="41" s="1"/>
  <c r="B46" i="4"/>
  <c r="I47" i="11"/>
  <c r="B41" i="29"/>
  <c r="F41" i="29"/>
  <c r="H41" i="29" s="1"/>
  <c r="B39" i="37"/>
  <c r="F39" i="37"/>
  <c r="H39" i="37" s="1"/>
  <c r="F38" i="45"/>
  <c r="G38" i="45" s="1"/>
  <c r="B38" i="45"/>
  <c r="H119" i="13"/>
  <c r="I119" i="13"/>
  <c r="B120" i="13"/>
  <c r="E120" i="13"/>
  <c r="F120" i="13" s="1"/>
  <c r="I37" i="13" l="1"/>
  <c r="H42" i="27"/>
  <c r="G40" i="30"/>
  <c r="E38" i="13"/>
  <c r="F38" i="13" s="1"/>
  <c r="B38" i="13"/>
  <c r="G41" i="31"/>
  <c r="G41" i="29"/>
  <c r="G41" i="28"/>
  <c r="H45" i="25"/>
  <c r="G43" i="24"/>
  <c r="G44" i="23"/>
  <c r="G45" i="22"/>
  <c r="G48" i="11"/>
  <c r="G50" i="10"/>
  <c r="H47" i="8"/>
  <c r="H49" i="7"/>
  <c r="G47" i="6"/>
  <c r="H46" i="5"/>
  <c r="G46" i="4"/>
  <c r="G46" i="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D43" i="27"/>
  <c r="D46" i="22"/>
  <c r="E46" i="22"/>
  <c r="D46" i="25"/>
  <c r="E46" i="25"/>
  <c r="D37" i="43"/>
  <c r="E37" i="43"/>
  <c r="G38" i="39"/>
  <c r="I38" i="39" s="1"/>
  <c r="D44" i="24"/>
  <c r="E44" i="24"/>
  <c r="I48" i="9"/>
  <c r="I37" i="46"/>
  <c r="D41" i="30"/>
  <c r="D39" i="45"/>
  <c r="E39" i="45" s="1"/>
  <c r="D38" i="41"/>
  <c r="E38" i="41" s="1"/>
  <c r="D50" i="7"/>
  <c r="D42" i="31"/>
  <c r="D51" i="10"/>
  <c r="E51" i="10"/>
  <c r="D38" i="40"/>
  <c r="E38" i="40"/>
  <c r="D42" i="28"/>
  <c r="D47" i="3"/>
  <c r="E47" i="3"/>
  <c r="E40" i="37"/>
  <c r="D40" i="37"/>
  <c r="D48" i="6"/>
  <c r="D47" i="5"/>
  <c r="G39" i="37"/>
  <c r="I39" i="37" s="1"/>
  <c r="D42" i="29"/>
  <c r="D47" i="4"/>
  <c r="D38" i="42"/>
  <c r="E38" i="42"/>
  <c r="H36" i="43"/>
  <c r="I36" i="43" s="1"/>
  <c r="D45" i="23"/>
  <c r="D49" i="11"/>
  <c r="D39" i="39"/>
  <c r="E39" i="39"/>
  <c r="D48" i="8"/>
  <c r="E48" i="8"/>
  <c r="F49" i="9"/>
  <c r="H49" i="9" s="1"/>
  <c r="B49" i="9"/>
  <c r="D39" i="38"/>
  <c r="E39" i="38"/>
  <c r="F38" i="46"/>
  <c r="H38" i="46" s="1"/>
  <c r="B38" i="46"/>
  <c r="J119" i="13"/>
  <c r="G120" i="13"/>
  <c r="D121" i="13"/>
  <c r="G38" i="13" l="1"/>
  <c r="D39" i="13"/>
  <c r="H38" i="13"/>
  <c r="E42" i="31"/>
  <c r="F42" i="31" s="1"/>
  <c r="G42" i="31" s="1"/>
  <c r="E41" i="30"/>
  <c r="F41" i="30" s="1"/>
  <c r="H41" i="30" s="1"/>
  <c r="E42" i="29"/>
  <c r="F42" i="29" s="1"/>
  <c r="H42" i="29" s="1"/>
  <c r="E42" i="28"/>
  <c r="F42" i="28" s="1"/>
  <c r="G42" i="28" s="1"/>
  <c r="E45" i="23"/>
  <c r="F45" i="23" s="1"/>
  <c r="H45" i="23" s="1"/>
  <c r="E49" i="11"/>
  <c r="F49" i="11" s="1"/>
  <c r="H49" i="11" s="1"/>
  <c r="G49" i="9"/>
  <c r="E50" i="7"/>
  <c r="F50" i="7" s="1"/>
  <c r="H50" i="7" s="1"/>
  <c r="E48" i="6"/>
  <c r="F48" i="6" s="1"/>
  <c r="H48" i="6" s="1"/>
  <c r="E47" i="5"/>
  <c r="F47" i="5" s="1"/>
  <c r="H47" i="5" s="1"/>
  <c r="E47" i="4"/>
  <c r="F47" i="4" s="1"/>
  <c r="G47" i="4" s="1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H43" i="27" s="1"/>
  <c r="B49" i="11"/>
  <c r="B47" i="4"/>
  <c r="B45" i="23"/>
  <c r="B38" i="42"/>
  <c r="F38" i="42"/>
  <c r="G38" i="42" s="1"/>
  <c r="B42" i="31"/>
  <c r="B50" i="7"/>
  <c r="I40" i="30"/>
  <c r="F46" i="22"/>
  <c r="H46" i="22" s="1"/>
  <c r="B46" i="22"/>
  <c r="D50" i="9"/>
  <c r="B47" i="5"/>
  <c r="B39" i="38"/>
  <c r="F39" i="38"/>
  <c r="G39" i="38" s="1"/>
  <c r="B39" i="39"/>
  <c r="F39" i="39"/>
  <c r="I44" i="23"/>
  <c r="B48" i="6"/>
  <c r="B47" i="3"/>
  <c r="F47" i="3"/>
  <c r="H47" i="3" s="1"/>
  <c r="B38" i="40"/>
  <c r="F38" i="40"/>
  <c r="G38" i="40" s="1"/>
  <c r="B51" i="10"/>
  <c r="F51" i="10"/>
  <c r="H51" i="10" s="1"/>
  <c r="I49" i="7"/>
  <c r="F39" i="45"/>
  <c r="B39" i="45"/>
  <c r="B41" i="30"/>
  <c r="D39" i="46"/>
  <c r="E39" i="46" s="1"/>
  <c r="B42" i="29"/>
  <c r="B42" i="28"/>
  <c r="F38" i="41"/>
  <c r="H38" i="41" s="1"/>
  <c r="B38" i="41"/>
  <c r="G38" i="46"/>
  <c r="I38" i="46" s="1"/>
  <c r="B48" i="8"/>
  <c r="F48" i="8"/>
  <c r="H48" i="8" s="1"/>
  <c r="I41" i="29"/>
  <c r="F40" i="37"/>
  <c r="B40" i="37"/>
  <c r="I46" i="3"/>
  <c r="F44" i="24"/>
  <c r="H44" i="24" s="1"/>
  <c r="B44" i="24"/>
  <c r="B37" i="43"/>
  <c r="F37" i="43"/>
  <c r="G37" i="43" s="1"/>
  <c r="F46" i="25"/>
  <c r="H46" i="25" s="1"/>
  <c r="B46" i="25"/>
  <c r="I45" i="22"/>
  <c r="B121" i="13"/>
  <c r="I120" i="13"/>
  <c r="H120" i="13"/>
  <c r="E121" i="13"/>
  <c r="F121" i="13" s="1"/>
  <c r="I38" i="13" l="1"/>
  <c r="E39" i="13"/>
  <c r="F39" i="13" s="1"/>
  <c r="B39" i="13"/>
  <c r="H42" i="31"/>
  <c r="G41" i="30"/>
  <c r="G42" i="29"/>
  <c r="H42" i="28"/>
  <c r="G43" i="27"/>
  <c r="G46" i="25"/>
  <c r="G44" i="24"/>
  <c r="G45" i="23"/>
  <c r="G46" i="22"/>
  <c r="G49" i="11"/>
  <c r="G51" i="10"/>
  <c r="E50" i="9"/>
  <c r="F50" i="9" s="1"/>
  <c r="H50" i="9" s="1"/>
  <c r="G48" i="8"/>
  <c r="G50" i="7"/>
  <c r="G48" i="6"/>
  <c r="G47" i="5"/>
  <c r="H47" i="4"/>
  <c r="G47" i="3"/>
  <c r="H39" i="44"/>
  <c r="G39" i="44"/>
  <c r="D40" i="44"/>
  <c r="H38" i="40"/>
  <c r="I38" i="40" s="1"/>
  <c r="D44" i="27"/>
  <c r="E44" i="27"/>
  <c r="D47" i="25"/>
  <c r="E47" i="25"/>
  <c r="D43" i="29"/>
  <c r="E43" i="29"/>
  <c r="D40" i="45"/>
  <c r="B50" i="9"/>
  <c r="D48" i="4"/>
  <c r="E48" i="4"/>
  <c r="H39" i="45"/>
  <c r="D39" i="40"/>
  <c r="E39" i="40"/>
  <c r="D48" i="3"/>
  <c r="E48" i="3"/>
  <c r="D51" i="7"/>
  <c r="D46" i="23"/>
  <c r="E46" i="23"/>
  <c r="D50" i="11"/>
  <c r="E50" i="11"/>
  <c r="D41" i="37"/>
  <c r="E41" i="37" s="1"/>
  <c r="D39" i="41"/>
  <c r="E39" i="41"/>
  <c r="D42" i="30"/>
  <c r="E42" i="30"/>
  <c r="D40" i="39"/>
  <c r="E40" i="39"/>
  <c r="D48" i="5"/>
  <c r="D38" i="43"/>
  <c r="E38" i="43"/>
  <c r="H40" i="37"/>
  <c r="D49" i="8"/>
  <c r="D43" i="28"/>
  <c r="F39" i="46"/>
  <c r="H39" i="46" s="1"/>
  <c r="B39" i="46"/>
  <c r="G39" i="45"/>
  <c r="H39" i="39"/>
  <c r="D40" i="38"/>
  <c r="E40" i="38"/>
  <c r="D39" i="42"/>
  <c r="E39" i="42" s="1"/>
  <c r="H37" i="43"/>
  <c r="I37" i="43" s="1"/>
  <c r="D45" i="24"/>
  <c r="E45" i="24"/>
  <c r="G40" i="37"/>
  <c r="G38" i="41"/>
  <c r="I38" i="41" s="1"/>
  <c r="D52" i="10"/>
  <c r="D49" i="6"/>
  <c r="G39" i="39"/>
  <c r="H39" i="38"/>
  <c r="I39" i="38" s="1"/>
  <c r="I49" i="9"/>
  <c r="D47" i="22"/>
  <c r="D43" i="31"/>
  <c r="H38" i="42"/>
  <c r="I38" i="42" s="1"/>
  <c r="J120" i="13"/>
  <c r="D122" i="13"/>
  <c r="E122" i="13" s="1"/>
  <c r="G121" i="13"/>
  <c r="D40" i="13" l="1"/>
  <c r="H39" i="13"/>
  <c r="G39" i="13"/>
  <c r="E43" i="31"/>
  <c r="F43" i="31" s="1"/>
  <c r="H43" i="31" s="1"/>
  <c r="E43" i="28"/>
  <c r="F43" i="28" s="1"/>
  <c r="H43" i="28" s="1"/>
  <c r="E47" i="22"/>
  <c r="F47" i="22" s="1"/>
  <c r="H47" i="22" s="1"/>
  <c r="E52" i="10"/>
  <c r="F52" i="10" s="1"/>
  <c r="G52" i="10" s="1"/>
  <c r="G50" i="9"/>
  <c r="E49" i="8"/>
  <c r="F49" i="8" s="1"/>
  <c r="H49" i="8" s="1"/>
  <c r="E51" i="7"/>
  <c r="F51" i="7" s="1"/>
  <c r="H51" i="7" s="1"/>
  <c r="E49" i="6"/>
  <c r="F49" i="6" s="1"/>
  <c r="H49" i="6" s="1"/>
  <c r="E48" i="5"/>
  <c r="F48" i="5" s="1"/>
  <c r="H48" i="5" s="1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G44" i="27" s="1"/>
  <c r="I44" i="24"/>
  <c r="I49" i="11"/>
  <c r="I43" i="27"/>
  <c r="B47" i="22"/>
  <c r="B52" i="10"/>
  <c r="F50" i="11"/>
  <c r="H50" i="11" s="1"/>
  <c r="B50" i="11"/>
  <c r="D51" i="9"/>
  <c r="E51" i="9"/>
  <c r="I39" i="39"/>
  <c r="I40" i="37"/>
  <c r="B40" i="39"/>
  <c r="F40" i="39"/>
  <c r="G40" i="39" s="1"/>
  <c r="B42" i="30"/>
  <c r="F42" i="30"/>
  <c r="H42" i="30" s="1"/>
  <c r="B51" i="7"/>
  <c r="B48" i="3"/>
  <c r="F48" i="3"/>
  <c r="H48" i="3" s="1"/>
  <c r="B39" i="40"/>
  <c r="F39" i="40"/>
  <c r="G39" i="40" s="1"/>
  <c r="B48" i="4"/>
  <c r="F48" i="4"/>
  <c r="H48" i="4" s="1"/>
  <c r="B40" i="45"/>
  <c r="F40" i="38"/>
  <c r="H40" i="38" s="1"/>
  <c r="B40" i="38"/>
  <c r="F46" i="23"/>
  <c r="H46" i="23" s="1"/>
  <c r="B46" i="23"/>
  <c r="F47" i="25"/>
  <c r="G47" i="25" s="1"/>
  <c r="B47" i="25"/>
  <c r="I42" i="31"/>
  <c r="I46" i="22"/>
  <c r="B49" i="6"/>
  <c r="F39" i="42"/>
  <c r="B39" i="42"/>
  <c r="D40" i="46"/>
  <c r="B48" i="5"/>
  <c r="I39" i="45"/>
  <c r="I47" i="4"/>
  <c r="E40" i="45"/>
  <c r="F40" i="45" s="1"/>
  <c r="I42" i="29"/>
  <c r="I46" i="25"/>
  <c r="B43" i="31"/>
  <c r="B45" i="24"/>
  <c r="F45" i="24"/>
  <c r="G45" i="24" s="1"/>
  <c r="F41" i="37"/>
  <c r="H41" i="37" s="1"/>
  <c r="B41" i="37"/>
  <c r="B43" i="29"/>
  <c r="F43" i="29"/>
  <c r="H43" i="29" s="1"/>
  <c r="I48" i="6"/>
  <c r="B43" i="2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I39" i="13" l="1"/>
  <c r="E40" i="13"/>
  <c r="F40" i="13" s="1"/>
  <c r="B40" i="13"/>
  <c r="G43" i="31"/>
  <c r="G42" i="30"/>
  <c r="G43" i="29"/>
  <c r="G43" i="28"/>
  <c r="H44" i="27"/>
  <c r="H47" i="25"/>
  <c r="H45" i="24"/>
  <c r="G46" i="23"/>
  <c r="G47" i="22"/>
  <c r="G50" i="11"/>
  <c r="H52" i="10"/>
  <c r="G49" i="8"/>
  <c r="G51" i="7"/>
  <c r="G49" i="6"/>
  <c r="G48" i="5"/>
  <c r="G48" i="4"/>
  <c r="G48" i="3"/>
  <c r="G40" i="44"/>
  <c r="I40" i="44" s="1"/>
  <c r="D41" i="44"/>
  <c r="E41" i="44" s="1"/>
  <c r="I50" i="9"/>
  <c r="G40" i="38"/>
  <c r="I40" i="38" s="1"/>
  <c r="H39" i="40"/>
  <c r="I39" i="40" s="1"/>
  <c r="D45" i="27"/>
  <c r="E45" i="27"/>
  <c r="D41" i="45"/>
  <c r="H40" i="45"/>
  <c r="G40" i="45"/>
  <c r="B40" i="46"/>
  <c r="D40" i="42"/>
  <c r="E40" i="42" s="1"/>
  <c r="D53" i="10"/>
  <c r="D40" i="41"/>
  <c r="E40" i="41" s="1"/>
  <c r="D44" i="28"/>
  <c r="E44" i="28"/>
  <c r="D46" i="24"/>
  <c r="E40" i="46"/>
  <c r="F40" i="46" s="1"/>
  <c r="H39" i="42"/>
  <c r="D48" i="25"/>
  <c r="D52" i="7"/>
  <c r="D41" i="39"/>
  <c r="E41" i="39"/>
  <c r="F51" i="9"/>
  <c r="H51" i="9" s="1"/>
  <c r="B51" i="9"/>
  <c r="D42" i="37"/>
  <c r="E42" i="37"/>
  <c r="D49" i="4"/>
  <c r="E49" i="4"/>
  <c r="H39" i="41"/>
  <c r="I39" i="41" s="1"/>
  <c r="D49" i="5"/>
  <c r="E49" i="5"/>
  <c r="D50" i="6"/>
  <c r="D49" i="3"/>
  <c r="E49" i="3"/>
  <c r="D43" i="30"/>
  <c r="D48" i="22"/>
  <c r="D39" i="43"/>
  <c r="E39" i="43" s="1"/>
  <c r="D44" i="31"/>
  <c r="G38" i="43"/>
  <c r="I38" i="43" s="1"/>
  <c r="D50" i="8"/>
  <c r="D44" i="29"/>
  <c r="E44" i="29"/>
  <c r="G41" i="37"/>
  <c r="I41" i="37" s="1"/>
  <c r="G39" i="42"/>
  <c r="D47" i="23"/>
  <c r="D41" i="38"/>
  <c r="E41" i="38"/>
  <c r="D40" i="40"/>
  <c r="E40" i="40" s="1"/>
  <c r="H40" i="39"/>
  <c r="I40" i="39" s="1"/>
  <c r="D51" i="11"/>
  <c r="J121" i="13"/>
  <c r="D123" i="13"/>
  <c r="E123" i="13" s="1"/>
  <c r="G122" i="13"/>
  <c r="H40" i="13" l="1"/>
  <c r="G40" i="13"/>
  <c r="D41" i="13"/>
  <c r="E44" i="31"/>
  <c r="F44" i="31" s="1"/>
  <c r="G44" i="31" s="1"/>
  <c r="E43" i="30"/>
  <c r="F43" i="30" s="1"/>
  <c r="H43" i="30" s="1"/>
  <c r="E48" i="25"/>
  <c r="F48" i="25" s="1"/>
  <c r="H48" i="25" s="1"/>
  <c r="E46" i="24"/>
  <c r="F46" i="24" s="1"/>
  <c r="H46" i="24" s="1"/>
  <c r="E47" i="23"/>
  <c r="F47" i="23" s="1"/>
  <c r="G47" i="23" s="1"/>
  <c r="E48" i="22"/>
  <c r="F48" i="22" s="1"/>
  <c r="H48" i="22" s="1"/>
  <c r="E51" i="11"/>
  <c r="F51" i="11" s="1"/>
  <c r="G51" i="11" s="1"/>
  <c r="E53" i="10"/>
  <c r="F53" i="10" s="1"/>
  <c r="G53" i="10" s="1"/>
  <c r="G51" i="9"/>
  <c r="E50" i="8"/>
  <c r="F50" i="8" s="1"/>
  <c r="G50" i="8" s="1"/>
  <c r="E52" i="7"/>
  <c r="F52" i="7" s="1"/>
  <c r="H52" i="7" s="1"/>
  <c r="E50" i="6"/>
  <c r="F50" i="6" s="1"/>
  <c r="H50" i="6" s="1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H45" i="27" s="1"/>
  <c r="D41" i="46"/>
  <c r="G40" i="46"/>
  <c r="H40" i="46"/>
  <c r="B48" i="22"/>
  <c r="B50" i="6"/>
  <c r="B52" i="7"/>
  <c r="F44" i="28"/>
  <c r="G44" i="28" s="1"/>
  <c r="B44" i="28"/>
  <c r="B41" i="45"/>
  <c r="F41" i="38"/>
  <c r="G41" i="38" s="1"/>
  <c r="B41" i="38"/>
  <c r="B47" i="23"/>
  <c r="B44" i="29"/>
  <c r="F44" i="29"/>
  <c r="H44" i="29" s="1"/>
  <c r="I49" i="8"/>
  <c r="I48" i="4"/>
  <c r="F41" i="39"/>
  <c r="G41" i="39" s="1"/>
  <c r="B41" i="39"/>
  <c r="B53" i="10"/>
  <c r="F40" i="42"/>
  <c r="G40" i="42" s="1"/>
  <c r="B40" i="42"/>
  <c r="E41" i="45"/>
  <c r="F41" i="45" s="1"/>
  <c r="B44" i="31"/>
  <c r="F49" i="3"/>
  <c r="H49" i="3" s="1"/>
  <c r="B49" i="3"/>
  <c r="B48" i="25"/>
  <c r="B40" i="41"/>
  <c r="F40" i="41"/>
  <c r="F39" i="43"/>
  <c r="G39" i="43" s="1"/>
  <c r="B39" i="43"/>
  <c r="B43" i="30"/>
  <c r="B51" i="11"/>
  <c r="B40" i="40"/>
  <c r="F40" i="40"/>
  <c r="H40" i="40" s="1"/>
  <c r="I46" i="23"/>
  <c r="I43" i="29"/>
  <c r="B50" i="8"/>
  <c r="I49" i="6"/>
  <c r="B49" i="5"/>
  <c r="F49" i="5"/>
  <c r="H49" i="5" s="1"/>
  <c r="F49" i="4"/>
  <c r="H49" i="4" s="1"/>
  <c r="B49" i="4"/>
  <c r="B42" i="37"/>
  <c r="F42" i="37"/>
  <c r="G42" i="37" s="1"/>
  <c r="D52" i="9"/>
  <c r="E52" i="9"/>
  <c r="I51" i="7"/>
  <c r="I39" i="42"/>
  <c r="B46" i="24"/>
  <c r="I43" i="28"/>
  <c r="I40" i="45"/>
  <c r="I122" i="13"/>
  <c r="H122" i="13"/>
  <c r="F123" i="13"/>
  <c r="B123" i="13"/>
  <c r="I40" i="13" l="1"/>
  <c r="H53" i="10"/>
  <c r="E41" i="13"/>
  <c r="F41" i="13" s="1"/>
  <c r="B41" i="13"/>
  <c r="H44" i="31"/>
  <c r="G43" i="30"/>
  <c r="G44" i="29"/>
  <c r="H44" i="28"/>
  <c r="G45" i="27"/>
  <c r="G48" i="25"/>
  <c r="G46" i="24"/>
  <c r="H47" i="23"/>
  <c r="G48" i="22"/>
  <c r="H51" i="11"/>
  <c r="H50" i="8"/>
  <c r="G52" i="7"/>
  <c r="G50" i="6"/>
  <c r="G49" i="5"/>
  <c r="G49" i="4"/>
  <c r="G49" i="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D42" i="45"/>
  <c r="H41" i="45"/>
  <c r="G41" i="45"/>
  <c r="D41" i="41"/>
  <c r="E41" i="41"/>
  <c r="D45" i="31"/>
  <c r="E45" i="31"/>
  <c r="D47" i="24"/>
  <c r="D44" i="30"/>
  <c r="E44" i="30"/>
  <c r="D42" i="39"/>
  <c r="E42" i="39" s="1"/>
  <c r="D45" i="28"/>
  <c r="F52" i="9"/>
  <c r="H52" i="9" s="1"/>
  <c r="B52" i="9"/>
  <c r="D50" i="5"/>
  <c r="E50" i="5"/>
  <c r="D54" i="10"/>
  <c r="D45" i="29"/>
  <c r="E45" i="29"/>
  <c r="D43" i="37"/>
  <c r="E43" i="37" s="1"/>
  <c r="D40" i="43"/>
  <c r="E40" i="43"/>
  <c r="H40" i="41"/>
  <c r="D50" i="3"/>
  <c r="E50" i="3"/>
  <c r="H41" i="39"/>
  <c r="I41" i="39" s="1"/>
  <c r="D48" i="23"/>
  <c r="D53" i="7"/>
  <c r="B41" i="46"/>
  <c r="D52" i="11"/>
  <c r="E52" i="11"/>
  <c r="D51" i="6"/>
  <c r="E51" i="6"/>
  <c r="H42" i="37"/>
  <c r="I42" i="37" s="1"/>
  <c r="D50" i="4"/>
  <c r="D51" i="8"/>
  <c r="D41" i="40"/>
  <c r="E41" i="40"/>
  <c r="G40" i="41"/>
  <c r="D49" i="25"/>
  <c r="E49" i="25"/>
  <c r="D41" i="42"/>
  <c r="E41" i="42" s="1"/>
  <c r="D42" i="38"/>
  <c r="E42" i="38"/>
  <c r="D49" i="22"/>
  <c r="E49" i="22"/>
  <c r="E41" i="46"/>
  <c r="F41" i="46" s="1"/>
  <c r="G123" i="13"/>
  <c r="D124" i="13"/>
  <c r="J122" i="13"/>
  <c r="G41" i="13" l="1"/>
  <c r="H41" i="13"/>
  <c r="D42" i="13"/>
  <c r="E45" i="28"/>
  <c r="F45" i="28" s="1"/>
  <c r="H45" i="28" s="1"/>
  <c r="E47" i="24"/>
  <c r="F47" i="24" s="1"/>
  <c r="H47" i="24" s="1"/>
  <c r="E48" i="23"/>
  <c r="F48" i="23" s="1"/>
  <c r="H48" i="23" s="1"/>
  <c r="E54" i="10"/>
  <c r="F54" i="10" s="1"/>
  <c r="G54" i="10" s="1"/>
  <c r="G52" i="9"/>
  <c r="E51" i="8"/>
  <c r="F51" i="8" s="1"/>
  <c r="G51" i="8" s="1"/>
  <c r="E53" i="7"/>
  <c r="F53" i="7" s="1"/>
  <c r="H53" i="7" s="1"/>
  <c r="E50" i="4"/>
  <c r="F50" i="4" s="1"/>
  <c r="H50" i="4" s="1"/>
  <c r="E42" i="44"/>
  <c r="F42" i="44" s="1"/>
  <c r="B42" i="44"/>
  <c r="I45" i="27"/>
  <c r="F46" i="27"/>
  <c r="H46" i="27" s="1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H51" i="6" s="1"/>
  <c r="B53" i="7"/>
  <c r="B54" i="10"/>
  <c r="F42" i="39"/>
  <c r="H42" i="39" s="1"/>
  <c r="B42" i="39"/>
  <c r="B50" i="4"/>
  <c r="F50" i="3"/>
  <c r="H50" i="3" s="1"/>
  <c r="B50" i="3"/>
  <c r="I44" i="28"/>
  <c r="B44" i="30"/>
  <c r="F44" i="30"/>
  <c r="H44" i="30" s="1"/>
  <c r="F45" i="31"/>
  <c r="H45" i="31" s="1"/>
  <c r="B45" i="31"/>
  <c r="I41" i="45"/>
  <c r="F49" i="25"/>
  <c r="G49" i="25" s="1"/>
  <c r="B49" i="25"/>
  <c r="B48" i="23"/>
  <c r="B43" i="37"/>
  <c r="F43" i="37"/>
  <c r="H43" i="37" s="1"/>
  <c r="I48" i="22"/>
  <c r="B42" i="38"/>
  <c r="F42" i="38"/>
  <c r="H42" i="38" s="1"/>
  <c r="I48" i="25"/>
  <c r="B51" i="8"/>
  <c r="I52" i="7"/>
  <c r="B40" i="43"/>
  <c r="F40" i="43"/>
  <c r="G40" i="43" s="1"/>
  <c r="B45" i="29"/>
  <c r="F45" i="29"/>
  <c r="H45" i="29" s="1"/>
  <c r="I53" i="10"/>
  <c r="D53" i="9"/>
  <c r="B45" i="28"/>
  <c r="I43" i="30"/>
  <c r="B42" i="45"/>
  <c r="F49" i="22"/>
  <c r="H49" i="22" s="1"/>
  <c r="B49" i="22"/>
  <c r="B41" i="40"/>
  <c r="F41" i="40"/>
  <c r="G41" i="40" s="1"/>
  <c r="B52" i="11"/>
  <c r="F52" i="11"/>
  <c r="H52" i="11" s="1"/>
  <c r="I44" i="29"/>
  <c r="B50" i="5"/>
  <c r="F50" i="5"/>
  <c r="H50" i="5" s="1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G53" i="7" l="1"/>
  <c r="I41" i="13"/>
  <c r="B42" i="13"/>
  <c r="E42" i="13"/>
  <c r="F42" i="13" s="1"/>
  <c r="G45" i="31"/>
  <c r="G44" i="30"/>
  <c r="G45" i="29"/>
  <c r="G45" i="28"/>
  <c r="G46" i="27"/>
  <c r="H49" i="25"/>
  <c r="G47" i="24"/>
  <c r="G48" i="23"/>
  <c r="G49" i="22"/>
  <c r="G52" i="11"/>
  <c r="H54" i="10"/>
  <c r="E53" i="9"/>
  <c r="F53" i="9" s="1"/>
  <c r="H53" i="9" s="1"/>
  <c r="H51" i="8"/>
  <c r="G51" i="6"/>
  <c r="G50" i="5"/>
  <c r="G50" i="4"/>
  <c r="G50" i="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D47" i="27"/>
  <c r="D43" i="45"/>
  <c r="E43" i="45" s="1"/>
  <c r="H42" i="45"/>
  <c r="G42" i="45"/>
  <c r="D42" i="40"/>
  <c r="E42" i="40"/>
  <c r="D50" i="22"/>
  <c r="E50" i="22"/>
  <c r="D46" i="28"/>
  <c r="E46" i="28"/>
  <c r="D49" i="23"/>
  <c r="I41" i="46"/>
  <c r="D51" i="4"/>
  <c r="D48" i="24"/>
  <c r="D53" i="11"/>
  <c r="B53" i="9"/>
  <c r="D41" i="43"/>
  <c r="E41" i="43" s="1"/>
  <c r="D43" i="38"/>
  <c r="E43" i="38"/>
  <c r="D44" i="37"/>
  <c r="E44" i="37" s="1"/>
  <c r="D46" i="31"/>
  <c r="E46" i="31"/>
  <c r="D52" i="6"/>
  <c r="D54" i="7"/>
  <c r="D42" i="41"/>
  <c r="E42" i="41"/>
  <c r="D51" i="5"/>
  <c r="E51" i="5"/>
  <c r="H41" i="40"/>
  <c r="I41" i="40" s="1"/>
  <c r="I52" i="9"/>
  <c r="D46" i="29"/>
  <c r="H40" i="43"/>
  <c r="I40" i="43" s="1"/>
  <c r="D52" i="8"/>
  <c r="D50" i="25"/>
  <c r="E50" i="25"/>
  <c r="D45" i="30"/>
  <c r="E45" i="30"/>
  <c r="D51" i="3"/>
  <c r="E51" i="3"/>
  <c r="D43" i="39"/>
  <c r="E43" i="39" s="1"/>
  <c r="D55" i="10"/>
  <c r="D42" i="42"/>
  <c r="E42" i="42"/>
  <c r="B42" i="46"/>
  <c r="F42" i="46"/>
  <c r="G42" i="46" s="1"/>
  <c r="J123" i="13"/>
  <c r="G124" i="13"/>
  <c r="D125" i="13"/>
  <c r="E125" i="13" s="1"/>
  <c r="G42" i="13" l="1"/>
  <c r="D43" i="13"/>
  <c r="H42" i="13"/>
  <c r="E46" i="29"/>
  <c r="F46" i="29" s="1"/>
  <c r="H46" i="29" s="1"/>
  <c r="E48" i="24"/>
  <c r="F48" i="24" s="1"/>
  <c r="H48" i="24" s="1"/>
  <c r="E49" i="23"/>
  <c r="F49" i="23" s="1"/>
  <c r="H49" i="23" s="1"/>
  <c r="E53" i="11"/>
  <c r="F53" i="11" s="1"/>
  <c r="H53" i="11" s="1"/>
  <c r="E55" i="10"/>
  <c r="F55" i="10" s="1"/>
  <c r="H55" i="10" s="1"/>
  <c r="G53" i="9"/>
  <c r="E52" i="8"/>
  <c r="F52" i="8" s="1"/>
  <c r="H52" i="8" s="1"/>
  <c r="E54" i="7"/>
  <c r="F54" i="7" s="1"/>
  <c r="H54" i="7" s="1"/>
  <c r="E52" i="6"/>
  <c r="F52" i="6" s="1"/>
  <c r="H52" i="6" s="1"/>
  <c r="E51" i="4"/>
  <c r="F51" i="4" s="1"/>
  <c r="H51" i="4" s="1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H47" i="27" s="1"/>
  <c r="I44" i="30"/>
  <c r="I49" i="25"/>
  <c r="I51" i="8"/>
  <c r="B43" i="39"/>
  <c r="F43" i="39"/>
  <c r="G43" i="39" s="1"/>
  <c r="B52" i="8"/>
  <c r="B46" i="29"/>
  <c r="B43" i="38"/>
  <c r="F43" i="38"/>
  <c r="B48" i="24"/>
  <c r="I50" i="4"/>
  <c r="I42" i="45"/>
  <c r="B46" i="31"/>
  <c r="F46" i="31"/>
  <c r="H46" i="31" s="1"/>
  <c r="D54" i="9"/>
  <c r="D43" i="46"/>
  <c r="E43" i="46" s="1"/>
  <c r="B55" i="10"/>
  <c r="B54" i="7"/>
  <c r="B52" i="6"/>
  <c r="B44" i="37"/>
  <c r="F44" i="37"/>
  <c r="H44" i="37" s="1"/>
  <c r="B49" i="23"/>
  <c r="B46" i="28"/>
  <c r="F46" i="28"/>
  <c r="G46" i="28" s="1"/>
  <c r="F42" i="40"/>
  <c r="G42" i="40" s="1"/>
  <c r="B42" i="40"/>
  <c r="F51" i="3"/>
  <c r="H51" i="3" s="1"/>
  <c r="B51" i="3"/>
  <c r="B51" i="5"/>
  <c r="F51" i="5"/>
  <c r="H51" i="5" s="1"/>
  <c r="B53" i="11"/>
  <c r="F50" i="22"/>
  <c r="H50" i="22" s="1"/>
  <c r="B50" i="22"/>
  <c r="B42" i="42"/>
  <c r="F42" i="42"/>
  <c r="G42" i="42" s="1"/>
  <c r="I54" i="10"/>
  <c r="I50" i="3"/>
  <c r="B45" i="30"/>
  <c r="F45" i="30"/>
  <c r="H45" i="30" s="1"/>
  <c r="F50" i="25"/>
  <c r="H50" i="25" s="1"/>
  <c r="B50" i="25"/>
  <c r="B42" i="41"/>
  <c r="F42" i="41"/>
  <c r="I51" i="6"/>
  <c r="B41" i="43"/>
  <c r="F41" i="43"/>
  <c r="H41" i="43" s="1"/>
  <c r="I52" i="11"/>
  <c r="I47" i="24"/>
  <c r="B51" i="4"/>
  <c r="B43" i="45"/>
  <c r="F43" i="45"/>
  <c r="H43" i="45" s="1"/>
  <c r="B125" i="13"/>
  <c r="F125" i="13"/>
  <c r="I124" i="13"/>
  <c r="H124" i="13"/>
  <c r="I42" i="13" l="1"/>
  <c r="G52" i="8"/>
  <c r="B43" i="13"/>
  <c r="E43" i="13"/>
  <c r="F43" i="13" s="1"/>
  <c r="G46" i="31"/>
  <c r="G45" i="30"/>
  <c r="G46" i="29"/>
  <c r="H46" i="28"/>
  <c r="G47" i="27"/>
  <c r="G50" i="25"/>
  <c r="G48" i="24"/>
  <c r="G49" i="23"/>
  <c r="G50" i="22"/>
  <c r="G53" i="11"/>
  <c r="G55" i="10"/>
  <c r="E54" i="9"/>
  <c r="F54" i="9" s="1"/>
  <c r="H54" i="9" s="1"/>
  <c r="G54" i="7"/>
  <c r="G52" i="6"/>
  <c r="G51" i="5"/>
  <c r="G51" i="4"/>
  <c r="G51" i="3"/>
  <c r="G43" i="44"/>
  <c r="D44" i="44"/>
  <c r="H43" i="44"/>
  <c r="G41" i="43"/>
  <c r="I41" i="43" s="1"/>
  <c r="D48" i="27"/>
  <c r="G43" i="45"/>
  <c r="I43" i="45" s="1"/>
  <c r="D43" i="41"/>
  <c r="E43" i="41"/>
  <c r="D55" i="7"/>
  <c r="E55" i="7"/>
  <c r="D44" i="38"/>
  <c r="E44" i="38" s="1"/>
  <c r="H42" i="41"/>
  <c r="D46" i="30"/>
  <c r="E46" i="30"/>
  <c r="H42" i="42"/>
  <c r="I42" i="42" s="1"/>
  <c r="D54" i="11"/>
  <c r="E54" i="11"/>
  <c r="D52" i="3"/>
  <c r="E52" i="3"/>
  <c r="D43" i="40"/>
  <c r="E43" i="40"/>
  <c r="D50" i="23"/>
  <c r="G44" i="37"/>
  <c r="I44" i="37" s="1"/>
  <c r="I53" i="9"/>
  <c r="G43" i="38"/>
  <c r="D44" i="39"/>
  <c r="E44" i="39"/>
  <c r="D51" i="25"/>
  <c r="E51" i="25"/>
  <c r="F43" i="46"/>
  <c r="H43" i="46" s="1"/>
  <c r="B43" i="46"/>
  <c r="D47" i="29"/>
  <c r="D44" i="45"/>
  <c r="D52" i="4"/>
  <c r="D42" i="43"/>
  <c r="E42" i="43"/>
  <c r="D52" i="5"/>
  <c r="E52" i="5"/>
  <c r="H42" i="40"/>
  <c r="I42" i="40" s="1"/>
  <c r="D47" i="28"/>
  <c r="E47" i="28"/>
  <c r="D56" i="10"/>
  <c r="D47" i="31"/>
  <c r="E47" i="31"/>
  <c r="D49" i="24"/>
  <c r="E49" i="24"/>
  <c r="H43" i="39"/>
  <c r="I43" i="39" s="1"/>
  <c r="G42" i="41"/>
  <c r="D43" i="42"/>
  <c r="E43" i="42"/>
  <c r="D51" i="22"/>
  <c r="E51" i="22"/>
  <c r="D45" i="37"/>
  <c r="E45" i="37" s="1"/>
  <c r="D53" i="6"/>
  <c r="B54" i="9"/>
  <c r="H43" i="38"/>
  <c r="D53" i="8"/>
  <c r="E53" i="8"/>
  <c r="D126" i="13"/>
  <c r="G125" i="13"/>
  <c r="J124" i="13"/>
  <c r="G43" i="13" l="1"/>
  <c r="H43" i="13"/>
  <c r="D44" i="13"/>
  <c r="E47" i="29"/>
  <c r="F47" i="29" s="1"/>
  <c r="G47" i="29" s="1"/>
  <c r="E50" i="23"/>
  <c r="F50" i="23" s="1"/>
  <c r="H50" i="23" s="1"/>
  <c r="E56" i="10"/>
  <c r="F56" i="10" s="1"/>
  <c r="G56" i="10" s="1"/>
  <c r="G54" i="9"/>
  <c r="E53" i="6"/>
  <c r="F53" i="6" s="1"/>
  <c r="H53" i="6" s="1"/>
  <c r="E52" i="4"/>
  <c r="F52" i="4" s="1"/>
  <c r="H52" i="4" s="1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G48" i="27" s="1"/>
  <c r="B53" i="6"/>
  <c r="F52" i="5"/>
  <c r="H52" i="5" s="1"/>
  <c r="B52" i="5"/>
  <c r="I52" i="8"/>
  <c r="B43" i="42"/>
  <c r="F43" i="42"/>
  <c r="G43" i="42" s="1"/>
  <c r="B56" i="10"/>
  <c r="B52" i="4"/>
  <c r="I42" i="41"/>
  <c r="D55" i="9"/>
  <c r="E55" i="9"/>
  <c r="F44" i="38"/>
  <c r="G44" i="38" s="1"/>
  <c r="B44" i="38"/>
  <c r="B53" i="8"/>
  <c r="F53" i="8"/>
  <c r="H53" i="8" s="1"/>
  <c r="F51" i="22"/>
  <c r="H51" i="22" s="1"/>
  <c r="B51" i="22"/>
  <c r="F47" i="31"/>
  <c r="G47" i="31" s="1"/>
  <c r="B47" i="31"/>
  <c r="I55" i="10"/>
  <c r="F47" i="28"/>
  <c r="H47" i="28" s="1"/>
  <c r="B47" i="28"/>
  <c r="B44" i="45"/>
  <c r="D44" i="46"/>
  <c r="E44" i="46" s="1"/>
  <c r="F51" i="25"/>
  <c r="G51" i="25" s="1"/>
  <c r="B51" i="25"/>
  <c r="B44" i="39"/>
  <c r="F44" i="39"/>
  <c r="G44" i="39" s="1"/>
  <c r="F52" i="3"/>
  <c r="H52" i="3" s="1"/>
  <c r="B52" i="3"/>
  <c r="B54" i="11"/>
  <c r="F54" i="11"/>
  <c r="H54" i="11" s="1"/>
  <c r="F46" i="30"/>
  <c r="H46" i="30" s="1"/>
  <c r="B46" i="30"/>
  <c r="F43" i="41"/>
  <c r="G43" i="41" s="1"/>
  <c r="B43" i="41"/>
  <c r="F49" i="24"/>
  <c r="G49" i="24" s="1"/>
  <c r="B49" i="24"/>
  <c r="B50" i="23"/>
  <c r="B45" i="37"/>
  <c r="F45" i="37"/>
  <c r="H45" i="37" s="1"/>
  <c r="I50" i="22"/>
  <c r="I46" i="28"/>
  <c r="B42" i="43"/>
  <c r="F42" i="43"/>
  <c r="G42" i="43" s="1"/>
  <c r="E44" i="45"/>
  <c r="F44" i="45" s="1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H55" i="7" s="1"/>
  <c r="I125" i="13"/>
  <c r="H125" i="13"/>
  <c r="B126" i="13"/>
  <c r="E126" i="13"/>
  <c r="F126" i="13" s="1"/>
  <c r="I43" i="13" l="1"/>
  <c r="B44" i="13"/>
  <c r="E44" i="13"/>
  <c r="F44" i="13" s="1"/>
  <c r="H47" i="31"/>
  <c r="G46" i="30"/>
  <c r="H47" i="29"/>
  <c r="G47" i="28"/>
  <c r="H48" i="27"/>
  <c r="H51" i="25"/>
  <c r="H49" i="24"/>
  <c r="G50" i="23"/>
  <c r="G51" i="22"/>
  <c r="G54" i="11"/>
  <c r="H56" i="10"/>
  <c r="G53" i="8"/>
  <c r="G55" i="7"/>
  <c r="G53" i="6"/>
  <c r="G52" i="5"/>
  <c r="G52" i="4"/>
  <c r="G52" i="3"/>
  <c r="G44" i="44"/>
  <c r="I44" i="44" s="1"/>
  <c r="D45" i="44"/>
  <c r="I54" i="9"/>
  <c r="H43" i="41"/>
  <c r="I43" i="41" s="1"/>
  <c r="H43" i="42"/>
  <c r="I43" i="42" s="1"/>
  <c r="D49" i="27"/>
  <c r="E49" i="27"/>
  <c r="H44" i="38"/>
  <c r="I44" i="38" s="1"/>
  <c r="H44" i="39"/>
  <c r="I44" i="39" s="1"/>
  <c r="D45" i="45"/>
  <c r="E45" i="45" s="1"/>
  <c r="H44" i="45"/>
  <c r="G44" i="45"/>
  <c r="D52" i="22"/>
  <c r="D44" i="40"/>
  <c r="E44" i="40"/>
  <c r="D43" i="43"/>
  <c r="E43" i="43" s="1"/>
  <c r="D46" i="37"/>
  <c r="E46" i="37"/>
  <c r="D51" i="23"/>
  <c r="E51" i="23"/>
  <c r="D47" i="30"/>
  <c r="D53" i="3"/>
  <c r="E53" i="3"/>
  <c r="B44" i="46"/>
  <c r="F44" i="46"/>
  <c r="G44" i="46" s="1"/>
  <c r="D54" i="8"/>
  <c r="E54" i="8"/>
  <c r="D45" i="38"/>
  <c r="E45" i="38" s="1"/>
  <c r="D57" i="10"/>
  <c r="D54" i="6"/>
  <c r="D55" i="11"/>
  <c r="E55" i="11"/>
  <c r="D45" i="39"/>
  <c r="E45" i="39" s="1"/>
  <c r="D48" i="31"/>
  <c r="D53" i="5"/>
  <c r="D56" i="7"/>
  <c r="E56" i="7"/>
  <c r="H43" i="40"/>
  <c r="I43" i="40" s="1"/>
  <c r="D48" i="29"/>
  <c r="H42" i="43"/>
  <c r="I42" i="43" s="1"/>
  <c r="G45" i="37"/>
  <c r="I45" i="37" s="1"/>
  <c r="D50" i="24"/>
  <c r="D44" i="41"/>
  <c r="E44" i="41"/>
  <c r="D52" i="25"/>
  <c r="E52" i="25"/>
  <c r="D48" i="28"/>
  <c r="E48" i="28"/>
  <c r="F55" i="9"/>
  <c r="H55" i="9" s="1"/>
  <c r="B55" i="9"/>
  <c r="D53" i="4"/>
  <c r="D44" i="42"/>
  <c r="E44" i="42"/>
  <c r="J125" i="13"/>
  <c r="D127" i="13"/>
  <c r="G126" i="13"/>
  <c r="G44" i="13" l="1"/>
  <c r="H44" i="13"/>
  <c r="D45" i="13"/>
  <c r="E48" i="31"/>
  <c r="F48" i="31" s="1"/>
  <c r="G48" i="31" s="1"/>
  <c r="E47" i="30"/>
  <c r="F47" i="30" s="1"/>
  <c r="H47" i="30" s="1"/>
  <c r="E48" i="29"/>
  <c r="F48" i="29" s="1"/>
  <c r="H48" i="29" s="1"/>
  <c r="E50" i="24"/>
  <c r="F50" i="24" s="1"/>
  <c r="H50" i="24" s="1"/>
  <c r="E52" i="22"/>
  <c r="F52" i="22" s="1"/>
  <c r="H52" i="22" s="1"/>
  <c r="E57" i="10"/>
  <c r="F57" i="10" s="1"/>
  <c r="H57" i="10" s="1"/>
  <c r="G55" i="9"/>
  <c r="E54" i="6"/>
  <c r="F54" i="6" s="1"/>
  <c r="H54" i="6" s="1"/>
  <c r="E53" i="5"/>
  <c r="F53" i="5" s="1"/>
  <c r="H53" i="5" s="1"/>
  <c r="E53" i="4"/>
  <c r="F53" i="4" s="1"/>
  <c r="G53" i="4" s="1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H49" i="27" s="1"/>
  <c r="B49" i="27"/>
  <c r="I47" i="29"/>
  <c r="I54" i="11"/>
  <c r="I46" i="30"/>
  <c r="B44" i="41"/>
  <c r="F44" i="41"/>
  <c r="G44" i="41" s="1"/>
  <c r="B45" i="38"/>
  <c r="F45" i="38"/>
  <c r="G45" i="38" s="1"/>
  <c r="D56" i="9"/>
  <c r="B50" i="24"/>
  <c r="B48" i="29"/>
  <c r="B53" i="5"/>
  <c r="I47" i="31"/>
  <c r="B45" i="39"/>
  <c r="F45" i="39"/>
  <c r="H45" i="39" s="1"/>
  <c r="B54" i="6"/>
  <c r="I56" i="10"/>
  <c r="D45" i="46"/>
  <c r="E45" i="46" s="1"/>
  <c r="B52" i="22"/>
  <c r="I44" i="45"/>
  <c r="F48" i="28"/>
  <c r="G48" i="28" s="1"/>
  <c r="B48" i="28"/>
  <c r="B57" i="10"/>
  <c r="B47" i="30"/>
  <c r="B43" i="43"/>
  <c r="F43" i="43"/>
  <c r="G43" i="43" s="1"/>
  <c r="B53" i="4"/>
  <c r="I49" i="24"/>
  <c r="I55" i="7"/>
  <c r="I53" i="6"/>
  <c r="B54" i="8"/>
  <c r="F54" i="8"/>
  <c r="H54" i="8" s="1"/>
  <c r="I52" i="3"/>
  <c r="F51" i="23"/>
  <c r="G51" i="23" s="1"/>
  <c r="B51" i="23"/>
  <c r="B46" i="37"/>
  <c r="F46" i="37"/>
  <c r="G46" i="37" s="1"/>
  <c r="B44" i="40"/>
  <c r="F44" i="40"/>
  <c r="H44" i="40" s="1"/>
  <c r="F52" i="25"/>
  <c r="H52" i="25" s="1"/>
  <c r="B52" i="25"/>
  <c r="F56" i="7"/>
  <c r="H56" i="7" s="1"/>
  <c r="B56" i="7"/>
  <c r="F44" i="42"/>
  <c r="H44" i="42" s="1"/>
  <c r="B44" i="42"/>
  <c r="B48" i="31"/>
  <c r="F55" i="11"/>
  <c r="G55" i="11" s="1"/>
  <c r="B55" i="11"/>
  <c r="I53" i="8"/>
  <c r="F53" i="3"/>
  <c r="H53" i="3" s="1"/>
  <c r="B53" i="3"/>
  <c r="F45" i="45"/>
  <c r="H45" i="45" s="1"/>
  <c r="B45" i="45"/>
  <c r="B127" i="13"/>
  <c r="H126" i="13"/>
  <c r="I126" i="13"/>
  <c r="E127" i="13"/>
  <c r="F127" i="13" s="1"/>
  <c r="I44" i="13" l="1"/>
  <c r="E45" i="13"/>
  <c r="F45" i="13" s="1"/>
  <c r="D46" i="13" s="1"/>
  <c r="E46" i="13" s="1"/>
  <c r="B45" i="13"/>
  <c r="H48" i="31"/>
  <c r="G47" i="30"/>
  <c r="G48" i="29"/>
  <c r="H48" i="28"/>
  <c r="G49" i="27"/>
  <c r="G52" i="25"/>
  <c r="G50" i="24"/>
  <c r="H51" i="23"/>
  <c r="G52" i="22"/>
  <c r="H55" i="11"/>
  <c r="G57" i="10"/>
  <c r="E56" i="9"/>
  <c r="F56" i="9" s="1"/>
  <c r="H56" i="9" s="1"/>
  <c r="G54" i="8"/>
  <c r="G56" i="7"/>
  <c r="G54" i="6"/>
  <c r="G53" i="5"/>
  <c r="H53" i="4"/>
  <c r="G53" i="3"/>
  <c r="G45" i="39"/>
  <c r="I45" i="39" s="1"/>
  <c r="G44" i="42"/>
  <c r="I44" i="42" s="1"/>
  <c r="G45" i="44"/>
  <c r="I45" i="44" s="1"/>
  <c r="D46" i="44"/>
  <c r="H46" i="37"/>
  <c r="I46" i="37" s="1"/>
  <c r="G45" i="45"/>
  <c r="I45" i="45" s="1"/>
  <c r="H43" i="43"/>
  <c r="I43" i="43" s="1"/>
  <c r="D50" i="27"/>
  <c r="I55" i="9"/>
  <c r="D48" i="30"/>
  <c r="D49" i="28"/>
  <c r="D55" i="6"/>
  <c r="D56" i="11"/>
  <c r="D57" i="7"/>
  <c r="D45" i="40"/>
  <c r="E45" i="40"/>
  <c r="D52" i="23"/>
  <c r="D54" i="4"/>
  <c r="D58" i="10"/>
  <c r="D46" i="38"/>
  <c r="E46" i="38"/>
  <c r="D45" i="41"/>
  <c r="E45" i="41"/>
  <c r="D55" i="8"/>
  <c r="E55" i="8"/>
  <c r="B56" i="9"/>
  <c r="D54" i="3"/>
  <c r="E54" i="3"/>
  <c r="D45" i="42"/>
  <c r="E45" i="42" s="1"/>
  <c r="G44" i="40"/>
  <c r="I44" i="40" s="1"/>
  <c r="D47" i="37"/>
  <c r="E47" i="37" s="1"/>
  <c r="D46" i="39"/>
  <c r="E46" i="39"/>
  <c r="D54" i="5"/>
  <c r="D51" i="24"/>
  <c r="H44" i="41"/>
  <c r="I44" i="41" s="1"/>
  <c r="B45" i="46"/>
  <c r="F45" i="46"/>
  <c r="D49" i="29"/>
  <c r="D46" i="45"/>
  <c r="D49" i="31"/>
  <c r="D53" i="25"/>
  <c r="D44" i="43"/>
  <c r="E44" i="43" s="1"/>
  <c r="D53" i="22"/>
  <c r="H45" i="38"/>
  <c r="I45" i="38" s="1"/>
  <c r="J126" i="13"/>
  <c r="G127" i="13"/>
  <c r="D128" i="13"/>
  <c r="E128" i="13" s="1"/>
  <c r="B46" i="13" l="1"/>
  <c r="F46" i="13"/>
  <c r="G46" i="13" s="1"/>
  <c r="G45" i="13"/>
  <c r="H45" i="13"/>
  <c r="E49" i="31"/>
  <c r="F49" i="31" s="1"/>
  <c r="H49" i="31" s="1"/>
  <c r="E48" i="30"/>
  <c r="F48" i="30" s="1"/>
  <c r="H48" i="30" s="1"/>
  <c r="E49" i="29"/>
  <c r="F49" i="29" s="1"/>
  <c r="H49" i="29" s="1"/>
  <c r="E49" i="28"/>
  <c r="F49" i="28" s="1"/>
  <c r="H49" i="28" s="1"/>
  <c r="E53" i="25"/>
  <c r="F53" i="25" s="1"/>
  <c r="G53" i="25" s="1"/>
  <c r="E51" i="24"/>
  <c r="F51" i="24" s="1"/>
  <c r="H51" i="24" s="1"/>
  <c r="E52" i="23"/>
  <c r="F52" i="23" s="1"/>
  <c r="H52" i="23" s="1"/>
  <c r="E53" i="22"/>
  <c r="F53" i="22" s="1"/>
  <c r="H53" i="22" s="1"/>
  <c r="E56" i="11"/>
  <c r="F56" i="11" s="1"/>
  <c r="H56" i="11" s="1"/>
  <c r="E58" i="10"/>
  <c r="F58" i="10" s="1"/>
  <c r="H58" i="10" s="1"/>
  <c r="G56" i="9"/>
  <c r="E57" i="7"/>
  <c r="F57" i="7" s="1"/>
  <c r="H57" i="7" s="1"/>
  <c r="E55" i="6"/>
  <c r="F55" i="6" s="1"/>
  <c r="H55" i="6" s="1"/>
  <c r="E54" i="5"/>
  <c r="F54" i="5" s="1"/>
  <c r="H54" i="5" s="1"/>
  <c r="E54" i="4"/>
  <c r="F54" i="4" s="1"/>
  <c r="H54" i="4" s="1"/>
  <c r="E46" i="44"/>
  <c r="F46" i="44" s="1"/>
  <c r="B46" i="44"/>
  <c r="I47" i="30"/>
  <c r="I48" i="31"/>
  <c r="I52" i="25"/>
  <c r="I51" i="23"/>
  <c r="B50" i="27"/>
  <c r="I53" i="3"/>
  <c r="I49" i="27"/>
  <c r="I50" i="24"/>
  <c r="I54" i="8"/>
  <c r="E50" i="27"/>
  <c r="F50" i="27" s="1"/>
  <c r="G50" i="27" s="1"/>
  <c r="B49" i="31"/>
  <c r="D46" i="46"/>
  <c r="D57" i="9"/>
  <c r="F55" i="8"/>
  <c r="G55" i="8" s="1"/>
  <c r="B55" i="8"/>
  <c r="F45" i="41"/>
  <c r="B45" i="41"/>
  <c r="B54" i="4"/>
  <c r="F45" i="40"/>
  <c r="G45" i="40" s="1"/>
  <c r="B45" i="40"/>
  <c r="B57" i="7"/>
  <c r="B49" i="29"/>
  <c r="I52" i="22"/>
  <c r="B46" i="45"/>
  <c r="G45" i="46"/>
  <c r="F46" i="39"/>
  <c r="B46" i="39"/>
  <c r="B54" i="3"/>
  <c r="F54" i="3"/>
  <c r="H54" i="3" s="1"/>
  <c r="I57" i="10"/>
  <c r="B56" i="11"/>
  <c r="B55" i="6"/>
  <c r="B49" i="28"/>
  <c r="E46" i="45"/>
  <c r="F46" i="45" s="1"/>
  <c r="I48" i="29"/>
  <c r="B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44" i="43"/>
  <c r="B44" i="43"/>
  <c r="B53" i="25"/>
  <c r="H45" i="46"/>
  <c r="B54" i="5"/>
  <c r="B58" i="10"/>
  <c r="B52" i="23"/>
  <c r="I55" i="11"/>
  <c r="I54" i="6"/>
  <c r="I48" i="28"/>
  <c r="B48" i="30"/>
  <c r="F128" i="13"/>
  <c r="B128" i="13"/>
  <c r="H127" i="13"/>
  <c r="I127" i="13"/>
  <c r="D47" i="13" l="1"/>
  <c r="E47" i="13" s="1"/>
  <c r="H46" i="13"/>
  <c r="I46" i="13" s="1"/>
  <c r="I45" i="13"/>
  <c r="G51" i="24"/>
  <c r="G54" i="4"/>
  <c r="G49" i="31"/>
  <c r="G48" i="30"/>
  <c r="G49" i="29"/>
  <c r="G49" i="28"/>
  <c r="H50" i="27"/>
  <c r="H53" i="25"/>
  <c r="G52" i="23"/>
  <c r="G53" i="22"/>
  <c r="G56" i="11"/>
  <c r="G58" i="10"/>
  <c r="E57" i="9"/>
  <c r="F57" i="9" s="1"/>
  <c r="H57" i="9" s="1"/>
  <c r="H55" i="8"/>
  <c r="G57" i="7"/>
  <c r="G55" i="6"/>
  <c r="G54" i="5"/>
  <c r="G54" i="3"/>
  <c r="H46" i="44"/>
  <c r="D47" i="44"/>
  <c r="G46" i="44"/>
  <c r="G47" i="37"/>
  <c r="I47" i="37" s="1"/>
  <c r="I45" i="46"/>
  <c r="D51" i="27"/>
  <c r="D47" i="45"/>
  <c r="E47" i="45" s="1"/>
  <c r="H46" i="45"/>
  <c r="G46" i="45"/>
  <c r="D49" i="30"/>
  <c r="E49" i="30"/>
  <c r="D54" i="25"/>
  <c r="E54" i="25"/>
  <c r="D45" i="43"/>
  <c r="E45" i="43"/>
  <c r="D50" i="28"/>
  <c r="D55" i="3"/>
  <c r="D47" i="39"/>
  <c r="E47" i="39"/>
  <c r="D50" i="29"/>
  <c r="E50" i="29"/>
  <c r="D46" i="41"/>
  <c r="E46" i="41"/>
  <c r="B46" i="46"/>
  <c r="D53" i="23"/>
  <c r="E53" i="23"/>
  <c r="H44" i="43"/>
  <c r="D47" i="38"/>
  <c r="E47" i="38"/>
  <c r="D46" i="42"/>
  <c r="E46" i="42"/>
  <c r="D57" i="11"/>
  <c r="E57" i="11"/>
  <c r="H46" i="39"/>
  <c r="D55" i="4"/>
  <c r="G45" i="41"/>
  <c r="E46" i="46"/>
  <c r="F46" i="46" s="1"/>
  <c r="D55" i="5"/>
  <c r="G44" i="43"/>
  <c r="D54" i="22"/>
  <c r="E54" i="22"/>
  <c r="H45" i="42"/>
  <c r="I45" i="42" s="1"/>
  <c r="D52" i="24"/>
  <c r="D56" i="6"/>
  <c r="G46" i="39"/>
  <c r="D58" i="7"/>
  <c r="D46" i="40"/>
  <c r="E46" i="40"/>
  <c r="H45" i="41"/>
  <c r="I56" i="9"/>
  <c r="D59" i="10"/>
  <c r="G46" i="38"/>
  <c r="I46" i="38" s="1"/>
  <c r="D48" i="37"/>
  <c r="E48" i="37" s="1"/>
  <c r="F47" i="13"/>
  <c r="G47" i="13" s="1"/>
  <c r="H45" i="40"/>
  <c r="I45" i="40" s="1"/>
  <c r="D56" i="8"/>
  <c r="E56" i="8"/>
  <c r="B57" i="9"/>
  <c r="D50" i="31"/>
  <c r="J127" i="13"/>
  <c r="G128" i="13"/>
  <c r="D129" i="13"/>
  <c r="E129" i="13" s="1"/>
  <c r="B47" i="13" l="1"/>
  <c r="E50" i="31"/>
  <c r="F50" i="31" s="1"/>
  <c r="G50" i="31" s="1"/>
  <c r="E50" i="28"/>
  <c r="F50" i="28" s="1"/>
  <c r="G50" i="28" s="1"/>
  <c r="E52" i="24"/>
  <c r="F52" i="24" s="1"/>
  <c r="H52" i="24" s="1"/>
  <c r="E59" i="10"/>
  <c r="F59" i="10" s="1"/>
  <c r="G59" i="10" s="1"/>
  <c r="G57" i="9"/>
  <c r="E58" i="7"/>
  <c r="F58" i="7" s="1"/>
  <c r="H58" i="7" s="1"/>
  <c r="E56" i="6"/>
  <c r="F56" i="6" s="1"/>
  <c r="H56" i="6" s="1"/>
  <c r="E55" i="5"/>
  <c r="F55" i="5" s="1"/>
  <c r="H55" i="5" s="1"/>
  <c r="E55" i="4"/>
  <c r="F55" i="4" s="1"/>
  <c r="H55" i="4" s="1"/>
  <c r="E55" i="3"/>
  <c r="F55" i="3" s="1"/>
  <c r="H55" i="3" s="1"/>
  <c r="I53" i="25"/>
  <c r="I48" i="30"/>
  <c r="E47" i="44"/>
  <c r="F47" i="44" s="1"/>
  <c r="B47" i="44"/>
  <c r="I46" i="44"/>
  <c r="I55" i="8"/>
  <c r="B51" i="27"/>
  <c r="E51" i="27"/>
  <c r="F51" i="27" s="1"/>
  <c r="H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B50" i="31"/>
  <c r="H47" i="13"/>
  <c r="I47" i="13" s="1"/>
  <c r="I58" i="10"/>
  <c r="F46" i="41"/>
  <c r="G46" i="41" s="1"/>
  <c r="B46" i="41"/>
  <c r="F45" i="43"/>
  <c r="G45" i="43" s="1"/>
  <c r="B45" i="43"/>
  <c r="F54" i="25"/>
  <c r="H54" i="25" s="1"/>
  <c r="B54" i="25"/>
  <c r="F49" i="30"/>
  <c r="H49" i="30" s="1"/>
  <c r="B49" i="30"/>
  <c r="B56" i="8"/>
  <c r="F56" i="8"/>
  <c r="H56" i="8" s="1"/>
  <c r="I46" i="39"/>
  <c r="B57" i="11"/>
  <c r="F57" i="11"/>
  <c r="H57" i="11" s="1"/>
  <c r="B47" i="38"/>
  <c r="F47" i="38"/>
  <c r="B53" i="23"/>
  <c r="F53" i="23"/>
  <c r="H53" i="23" s="1"/>
  <c r="B55" i="3"/>
  <c r="F47" i="45"/>
  <c r="H47" i="45" s="1"/>
  <c r="B47" i="45"/>
  <c r="B59" i="10"/>
  <c r="B58" i="7"/>
  <c r="B56" i="6"/>
  <c r="I51" i="24"/>
  <c r="B55" i="5"/>
  <c r="I54" i="4"/>
  <c r="I44" i="43"/>
  <c r="F47" i="39"/>
  <c r="H47" i="39" s="1"/>
  <c r="B47" i="39"/>
  <c r="I54" i="3"/>
  <c r="B50" i="28"/>
  <c r="D58" i="9"/>
  <c r="D48" i="13"/>
  <c r="E48" i="13" s="1"/>
  <c r="F48" i="37"/>
  <c r="G48" i="37" s="1"/>
  <c r="B48" i="37"/>
  <c r="B46" i="40"/>
  <c r="F46" i="40"/>
  <c r="I55" i="6"/>
  <c r="B52" i="24"/>
  <c r="B54" i="22"/>
  <c r="F54" i="22"/>
  <c r="H54" i="22" s="1"/>
  <c r="B55" i="4"/>
  <c r="I56" i="11"/>
  <c r="B46" i="42"/>
  <c r="F46" i="42"/>
  <c r="H46" i="42" s="1"/>
  <c r="F50" i="29"/>
  <c r="H50" i="29" s="1"/>
  <c r="B50" i="29"/>
  <c r="I46" i="45"/>
  <c r="F129" i="13"/>
  <c r="B129" i="13"/>
  <c r="H128" i="13"/>
  <c r="I128" i="13"/>
  <c r="H50" i="31" l="1"/>
  <c r="G49" i="30"/>
  <c r="G50" i="29"/>
  <c r="H50" i="28"/>
  <c r="G51" i="27"/>
  <c r="G54" i="25"/>
  <c r="G52" i="24"/>
  <c r="G53" i="23"/>
  <c r="G54" i="22"/>
  <c r="G57" i="11"/>
  <c r="H59" i="10"/>
  <c r="E58" i="9"/>
  <c r="G56" i="8"/>
  <c r="G58" i="7"/>
  <c r="G56" i="6"/>
  <c r="G55" i="5"/>
  <c r="G55" i="4"/>
  <c r="G55" i="3"/>
  <c r="H47" i="44"/>
  <c r="G47" i="44"/>
  <c r="D48" i="44"/>
  <c r="D52" i="27"/>
  <c r="E52" i="27"/>
  <c r="H46" i="41"/>
  <c r="I46" i="41" s="1"/>
  <c r="D56" i="4"/>
  <c r="D53" i="24"/>
  <c r="D47" i="40"/>
  <c r="E47" i="40"/>
  <c r="D48" i="38"/>
  <c r="E48" i="38" s="1"/>
  <c r="D47" i="42"/>
  <c r="E47" i="42"/>
  <c r="G46" i="40"/>
  <c r="D48" i="45"/>
  <c r="E48" i="45" s="1"/>
  <c r="D54" i="23"/>
  <c r="H47" i="38"/>
  <c r="D50" i="30"/>
  <c r="I46" i="46"/>
  <c r="D51" i="29"/>
  <c r="E51" i="29"/>
  <c r="D55" i="22"/>
  <c r="E55" i="22"/>
  <c r="D49" i="37"/>
  <c r="E49" i="37"/>
  <c r="F58" i="9"/>
  <c r="H58" i="9" s="1"/>
  <c r="B58" i="9"/>
  <c r="D51" i="28"/>
  <c r="E51" i="28"/>
  <c r="D48" i="39"/>
  <c r="E48" i="39"/>
  <c r="D57" i="6"/>
  <c r="E57" i="6"/>
  <c r="D60" i="10"/>
  <c r="G47" i="45"/>
  <c r="I47" i="45" s="1"/>
  <c r="D57" i="8"/>
  <c r="D46" i="43"/>
  <c r="E46" i="43" s="1"/>
  <c r="G46" i="42"/>
  <c r="I46" i="42" s="1"/>
  <c r="H46" i="40"/>
  <c r="H48" i="37"/>
  <c r="I48" i="37" s="1"/>
  <c r="F48" i="13"/>
  <c r="G48" i="13" s="1"/>
  <c r="B48" i="13"/>
  <c r="I57" i="9"/>
  <c r="G47" i="39"/>
  <c r="I47" i="39" s="1"/>
  <c r="D56" i="5"/>
  <c r="D59" i="7"/>
  <c r="D56" i="3"/>
  <c r="G47" i="38"/>
  <c r="D58" i="11"/>
  <c r="D55" i="25"/>
  <c r="E55" i="25"/>
  <c r="H45" i="43"/>
  <c r="I45" i="43" s="1"/>
  <c r="D47" i="41"/>
  <c r="E47" i="41" s="1"/>
  <c r="D51" i="31"/>
  <c r="F47" i="46"/>
  <c r="H47" i="46" s="1"/>
  <c r="B47" i="46"/>
  <c r="J128" i="13"/>
  <c r="G129" i="13"/>
  <c r="D130" i="13"/>
  <c r="E130" i="13" s="1"/>
  <c r="I47" i="44" l="1"/>
  <c r="E51" i="31"/>
  <c r="F51" i="31" s="1"/>
  <c r="H51" i="31" s="1"/>
  <c r="E50" i="30"/>
  <c r="F50" i="30" s="1"/>
  <c r="H50" i="30" s="1"/>
  <c r="E53" i="24"/>
  <c r="F53" i="24" s="1"/>
  <c r="G53" i="24" s="1"/>
  <c r="E54" i="23"/>
  <c r="F54" i="23" s="1"/>
  <c r="H54" i="23" s="1"/>
  <c r="E58" i="11"/>
  <c r="F58" i="11" s="1"/>
  <c r="H58" i="11" s="1"/>
  <c r="E60" i="10"/>
  <c r="F60" i="10" s="1"/>
  <c r="H60" i="10" s="1"/>
  <c r="G58" i="9"/>
  <c r="E57" i="8"/>
  <c r="F57" i="8" s="1"/>
  <c r="H57" i="8" s="1"/>
  <c r="E59" i="7"/>
  <c r="F59" i="7" s="1"/>
  <c r="G59" i="7" s="1"/>
  <c r="E56" i="5"/>
  <c r="F56" i="5" s="1"/>
  <c r="H56" i="5" s="1"/>
  <c r="E56" i="4"/>
  <c r="F56" i="4" s="1"/>
  <c r="H56" i="4" s="1"/>
  <c r="E56" i="3"/>
  <c r="F56" i="3" s="1"/>
  <c r="H56" i="3" s="1"/>
  <c r="E48" i="44"/>
  <c r="F48" i="44" s="1"/>
  <c r="B48" i="44"/>
  <c r="I49" i="30"/>
  <c r="I51" i="27"/>
  <c r="H48" i="13"/>
  <c r="I48" i="13" s="1"/>
  <c r="I54" i="22"/>
  <c r="I50" i="29"/>
  <c r="I59" i="10"/>
  <c r="I50" i="31"/>
  <c r="I58" i="7"/>
  <c r="I46" i="40"/>
  <c r="B52" i="27"/>
  <c r="F52" i="27"/>
  <c r="H52" i="27" s="1"/>
  <c r="G47" i="46"/>
  <c r="I47" i="46" s="1"/>
  <c r="I57" i="11"/>
  <c r="I56" i="8"/>
  <c r="F51" i="28"/>
  <c r="H51" i="28" s="1"/>
  <c r="B51" i="28"/>
  <c r="F47" i="42"/>
  <c r="G47" i="42" s="1"/>
  <c r="B47" i="42"/>
  <c r="B53" i="24"/>
  <c r="B56" i="4"/>
  <c r="B47" i="41"/>
  <c r="F47" i="41"/>
  <c r="H47" i="41" s="1"/>
  <c r="B55" i="25"/>
  <c r="F55" i="25"/>
  <c r="G55" i="25" s="1"/>
  <c r="B56" i="3"/>
  <c r="D49" i="13"/>
  <c r="E49" i="13" s="1"/>
  <c r="F57" i="6"/>
  <c r="H57" i="6" s="1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B58" i="11"/>
  <c r="I55" i="3"/>
  <c r="F46" i="43"/>
  <c r="G46" i="43" s="1"/>
  <c r="B46" i="43"/>
  <c r="B57" i="8"/>
  <c r="B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B59" i="7"/>
  <c r="B56" i="5"/>
  <c r="B60" i="10"/>
  <c r="I56" i="6"/>
  <c r="I50" i="28"/>
  <c r="E59" i="9"/>
  <c r="D59" i="9"/>
  <c r="B55" i="22"/>
  <c r="F55" i="22"/>
  <c r="H55" i="22" s="1"/>
  <c r="B51" i="29"/>
  <c r="F51" i="29"/>
  <c r="H51" i="29" s="1"/>
  <c r="I47" i="38"/>
  <c r="B54" i="23"/>
  <c r="B130" i="13"/>
  <c r="F130" i="13"/>
  <c r="H129" i="13"/>
  <c r="I129" i="13"/>
  <c r="G51" i="31" l="1"/>
  <c r="G50" i="30"/>
  <c r="G51" i="29"/>
  <c r="G51" i="28"/>
  <c r="G52" i="27"/>
  <c r="H55" i="25"/>
  <c r="H53" i="24"/>
  <c r="G54" i="23"/>
  <c r="G55" i="22"/>
  <c r="G58" i="11"/>
  <c r="G60" i="10"/>
  <c r="G57" i="8"/>
  <c r="H59" i="7"/>
  <c r="G57" i="6"/>
  <c r="G56" i="5"/>
  <c r="G56" i="4"/>
  <c r="G56" i="3"/>
  <c r="G48" i="44"/>
  <c r="D49" i="44"/>
  <c r="H48" i="44"/>
  <c r="I58" i="9"/>
  <c r="H47" i="40"/>
  <c r="I47" i="40" s="1"/>
  <c r="G48" i="39"/>
  <c r="I48" i="39" s="1"/>
  <c r="G47" i="41"/>
  <c r="I47" i="41" s="1"/>
  <c r="D53" i="27"/>
  <c r="E53" i="27"/>
  <c r="D47" i="43"/>
  <c r="E47" i="43"/>
  <c r="D50" i="37"/>
  <c r="E50" i="37"/>
  <c r="D56" i="25"/>
  <c r="E56" i="25"/>
  <c r="D54" i="24"/>
  <c r="E54" i="24"/>
  <c r="D55" i="23"/>
  <c r="E55" i="23"/>
  <c r="D61" i="10"/>
  <c r="E61" i="10" s="1"/>
  <c r="D60" i="7"/>
  <c r="E60" i="7"/>
  <c r="D51" i="30"/>
  <c r="E51" i="30"/>
  <c r="B49" i="13"/>
  <c r="F49" i="13"/>
  <c r="G49" i="13" s="1"/>
  <c r="D48" i="42"/>
  <c r="E48" i="42"/>
  <c r="D56" i="22"/>
  <c r="E56" i="22"/>
  <c r="F48" i="46"/>
  <c r="B48" i="46"/>
  <c r="D49" i="38"/>
  <c r="E49" i="38" s="1"/>
  <c r="D49" i="45"/>
  <c r="D49" i="39"/>
  <c r="E49" i="39"/>
  <c r="D57" i="4"/>
  <c r="E57" i="4"/>
  <c r="D52" i="29"/>
  <c r="E52" i="29"/>
  <c r="F59" i="9"/>
  <c r="H59" i="9" s="1"/>
  <c r="B59" i="9"/>
  <c r="D57" i="5"/>
  <c r="E57" i="5"/>
  <c r="D52" i="31"/>
  <c r="E52" i="31"/>
  <c r="D48" i="40"/>
  <c r="E48" i="40" s="1"/>
  <c r="G48" i="38"/>
  <c r="I48" i="38" s="1"/>
  <c r="D58" i="8"/>
  <c r="H46" i="43"/>
  <c r="I46" i="43" s="1"/>
  <c r="D59" i="11"/>
  <c r="E59" i="11"/>
  <c r="H48" i="45"/>
  <c r="I48" i="45" s="1"/>
  <c r="G49" i="37"/>
  <c r="I49" i="37" s="1"/>
  <c r="D58" i="6"/>
  <c r="D57" i="3"/>
  <c r="D48" i="41"/>
  <c r="E48" i="41"/>
  <c r="H47" i="42"/>
  <c r="I47" i="42" s="1"/>
  <c r="D52" i="28"/>
  <c r="E52" i="28"/>
  <c r="J129" i="13"/>
  <c r="G130" i="13"/>
  <c r="D131" i="13"/>
  <c r="G59" i="9" l="1"/>
  <c r="E58" i="8"/>
  <c r="F58" i="8" s="1"/>
  <c r="H58" i="8" s="1"/>
  <c r="E58" i="6"/>
  <c r="F58" i="6" s="1"/>
  <c r="G58" i="6" s="1"/>
  <c r="E57" i="3"/>
  <c r="F57" i="3" s="1"/>
  <c r="H57" i="3" s="1"/>
  <c r="I48" i="44"/>
  <c r="E49" i="44"/>
  <c r="F49" i="44" s="1"/>
  <c r="B49" i="44"/>
  <c r="I56" i="4"/>
  <c r="I52" i="27"/>
  <c r="I59" i="7"/>
  <c r="F53" i="27"/>
  <c r="H53" i="27" s="1"/>
  <c r="B53" i="27"/>
  <c r="I55" i="22"/>
  <c r="I50" i="30"/>
  <c r="B57" i="3"/>
  <c r="B58" i="8"/>
  <c r="F48" i="40"/>
  <c r="G48" i="40" s="1"/>
  <c r="B48" i="40"/>
  <c r="I51" i="31"/>
  <c r="B51" i="30"/>
  <c r="F51" i="30"/>
  <c r="H51" i="30" s="1"/>
  <c r="F47" i="43"/>
  <c r="B47" i="43"/>
  <c r="B58" i="6"/>
  <c r="B57" i="4"/>
  <c r="F57" i="4"/>
  <c r="G57" i="4" s="1"/>
  <c r="F49" i="39"/>
  <c r="B49" i="39"/>
  <c r="B49" i="38"/>
  <c r="F49" i="38"/>
  <c r="H49" i="38" s="1"/>
  <c r="D49" i="46"/>
  <c r="B56" i="22"/>
  <c r="F56" i="22"/>
  <c r="H56" i="22" s="1"/>
  <c r="F48" i="42"/>
  <c r="B48" i="42"/>
  <c r="F60" i="7"/>
  <c r="H60" i="7" s="1"/>
  <c r="B60" i="7"/>
  <c r="B61" i="10"/>
  <c r="F61" i="10"/>
  <c r="H61" i="10" s="1"/>
  <c r="B56" i="25"/>
  <c r="F56" i="25"/>
  <c r="H56" i="25" s="1"/>
  <c r="F52" i="28"/>
  <c r="G52" i="28" s="1"/>
  <c r="B52" i="28"/>
  <c r="B48" i="41"/>
  <c r="F48" i="41"/>
  <c r="H48" i="41" s="1"/>
  <c r="I56" i="3"/>
  <c r="I57" i="6"/>
  <c r="B59" i="11"/>
  <c r="F59" i="11"/>
  <c r="G59" i="11" s="1"/>
  <c r="F52" i="29"/>
  <c r="G52" i="29" s="1"/>
  <c r="B52" i="29"/>
  <c r="B49" i="45"/>
  <c r="G48" i="46"/>
  <c r="D50" i="13"/>
  <c r="B55" i="23"/>
  <c r="F55" i="23"/>
  <c r="G55" i="23" s="1"/>
  <c r="F54" i="24"/>
  <c r="H54" i="24" s="1"/>
  <c r="B54" i="24"/>
  <c r="F50" i="37"/>
  <c r="H50" i="37" s="1"/>
  <c r="B50" i="37"/>
  <c r="I51" i="28"/>
  <c r="I58" i="11"/>
  <c r="I57" i="8"/>
  <c r="F52" i="31"/>
  <c r="G52" i="31" s="1"/>
  <c r="B52" i="31"/>
  <c r="F57" i="5"/>
  <c r="H57" i="5" s="1"/>
  <c r="B57" i="5"/>
  <c r="D60" i="9"/>
  <c r="I51" i="29"/>
  <c r="E49" i="45"/>
  <c r="F49" i="45" s="1"/>
  <c r="H48" i="46"/>
  <c r="H49" i="13"/>
  <c r="I49" i="13" s="1"/>
  <c r="I60" i="10"/>
  <c r="I54" i="23"/>
  <c r="I53" i="24"/>
  <c r="I55" i="25"/>
  <c r="H130" i="13"/>
  <c r="I130" i="13"/>
  <c r="B131" i="13"/>
  <c r="E131" i="13"/>
  <c r="F131" i="13" s="1"/>
  <c r="H52" i="31" l="1"/>
  <c r="G51" i="30"/>
  <c r="H52" i="29"/>
  <c r="H52" i="28"/>
  <c r="G53" i="27"/>
  <c r="I53" i="27" s="1"/>
  <c r="G56" i="25"/>
  <c r="G54" i="24"/>
  <c r="H55" i="23"/>
  <c r="G56" i="22"/>
  <c r="H59" i="11"/>
  <c r="G61" i="10"/>
  <c r="E60" i="9"/>
  <c r="F60" i="9" s="1"/>
  <c r="H60" i="9" s="1"/>
  <c r="G58" i="8"/>
  <c r="G60" i="7"/>
  <c r="H58" i="6"/>
  <c r="G57" i="5"/>
  <c r="H57" i="4"/>
  <c r="G57" i="3"/>
  <c r="H49" i="44"/>
  <c r="D50" i="44"/>
  <c r="G49" i="44"/>
  <c r="G49" i="38"/>
  <c r="I49" i="38" s="1"/>
  <c r="H48" i="40"/>
  <c r="I48" i="40" s="1"/>
  <c r="G50" i="37"/>
  <c r="I50" i="37" s="1"/>
  <c r="I59" i="9"/>
  <c r="I48" i="46"/>
  <c r="D54" i="27"/>
  <c r="D50" i="45"/>
  <c r="E50" i="45" s="1"/>
  <c r="H49" i="45"/>
  <c r="G49" i="45"/>
  <c r="B60" i="9"/>
  <c r="D53" i="31"/>
  <c r="B50" i="13"/>
  <c r="D53" i="29"/>
  <c r="E53" i="29"/>
  <c r="D61" i="7"/>
  <c r="E61" i="7" s="1"/>
  <c r="D49" i="42"/>
  <c r="E49" i="42" s="1"/>
  <c r="B49" i="46"/>
  <c r="D50" i="39"/>
  <c r="E50" i="39"/>
  <c r="D48" i="43"/>
  <c r="E48" i="43"/>
  <c r="D55" i="24"/>
  <c r="E55" i="24"/>
  <c r="E50" i="13"/>
  <c r="F50" i="13" s="1"/>
  <c r="D60" i="11"/>
  <c r="D62" i="10"/>
  <c r="E62" i="10" s="1"/>
  <c r="D57" i="22"/>
  <c r="H49" i="39"/>
  <c r="D58" i="4"/>
  <c r="E58" i="4"/>
  <c r="H47" i="43"/>
  <c r="D52" i="30"/>
  <c r="E52" i="30"/>
  <c r="D59" i="8"/>
  <c r="D58" i="5"/>
  <c r="D56" i="23"/>
  <c r="E56" i="23"/>
  <c r="D49" i="41"/>
  <c r="E49" i="41"/>
  <c r="D53" i="28"/>
  <c r="E53" i="28"/>
  <c r="G48" i="42"/>
  <c r="G49" i="39"/>
  <c r="D51" i="37"/>
  <c r="E51" i="37" s="1"/>
  <c r="G48" i="41"/>
  <c r="I48" i="41" s="1"/>
  <c r="D57" i="25"/>
  <c r="H48" i="42"/>
  <c r="E49" i="46"/>
  <c r="F49" i="46" s="1"/>
  <c r="D50" i="38"/>
  <c r="E50" i="38"/>
  <c r="D59" i="6"/>
  <c r="G47" i="43"/>
  <c r="D49" i="40"/>
  <c r="E49" i="40"/>
  <c r="D58" i="3"/>
  <c r="J130" i="13"/>
  <c r="J155" i="13" s="1"/>
  <c r="G131" i="13"/>
  <c r="D132" i="13"/>
  <c r="E53" i="31" l="1"/>
  <c r="F53" i="31" s="1"/>
  <c r="H53" i="31" s="1"/>
  <c r="E57" i="25"/>
  <c r="F57" i="25" s="1"/>
  <c r="G57" i="25" s="1"/>
  <c r="E57" i="22"/>
  <c r="E60" i="11"/>
  <c r="F60" i="11" s="1"/>
  <c r="G60" i="11" s="1"/>
  <c r="G60" i="9"/>
  <c r="E59" i="8"/>
  <c r="F59" i="8" s="1"/>
  <c r="G59" i="8" s="1"/>
  <c r="E59" i="6"/>
  <c r="F59" i="6" s="1"/>
  <c r="H59" i="6" s="1"/>
  <c r="E58" i="5"/>
  <c r="F58" i="5" s="1"/>
  <c r="H58" i="5" s="1"/>
  <c r="E58" i="3"/>
  <c r="F58" i="3" s="1"/>
  <c r="H58" i="3" s="1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G54" i="27" s="1"/>
  <c r="D50" i="46"/>
  <c r="E50" i="46" s="1"/>
  <c r="G49" i="46"/>
  <c r="H49" i="46"/>
  <c r="D51" i="13"/>
  <c r="E51" i="13" s="1"/>
  <c r="H50" i="13"/>
  <c r="G50" i="13"/>
  <c r="B59" i="6"/>
  <c r="B57" i="25"/>
  <c r="F53" i="28"/>
  <c r="H53" i="28" s="1"/>
  <c r="B53" i="28"/>
  <c r="F56" i="23"/>
  <c r="H56" i="23" s="1"/>
  <c r="B56" i="23"/>
  <c r="B52" i="30"/>
  <c r="F52" i="30"/>
  <c r="H52" i="30" s="1"/>
  <c r="F58" i="4"/>
  <c r="H58" i="4" s="1"/>
  <c r="B58" i="4"/>
  <c r="B55" i="24"/>
  <c r="F55" i="24"/>
  <c r="H55" i="24" s="1"/>
  <c r="B61" i="7"/>
  <c r="F61" i="7"/>
  <c r="H61" i="7" s="1"/>
  <c r="B59" i="8"/>
  <c r="F48" i="43"/>
  <c r="H48" i="43" s="1"/>
  <c r="B48" i="43"/>
  <c r="F49" i="42"/>
  <c r="B49" i="42"/>
  <c r="B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I47" i="43"/>
  <c r="F57" i="22"/>
  <c r="H57" i="22" s="1"/>
  <c r="B57" i="22"/>
  <c r="B62" i="10"/>
  <c r="F62" i="10"/>
  <c r="H62" i="10" s="1"/>
  <c r="B58" i="3"/>
  <c r="B49" i="40"/>
  <c r="F49" i="40"/>
  <c r="G49" i="40" s="1"/>
  <c r="I58" i="6"/>
  <c r="I49" i="39"/>
  <c r="B60" i="11"/>
  <c r="I54" i="24"/>
  <c r="F50" i="39"/>
  <c r="H50" i="39" s="1"/>
  <c r="B50" i="39"/>
  <c r="F53" i="29"/>
  <c r="H53" i="29" s="1"/>
  <c r="B53" i="29"/>
  <c r="I52" i="31"/>
  <c r="D61" i="9"/>
  <c r="B50" i="45"/>
  <c r="F50" i="45"/>
  <c r="H50" i="45" s="1"/>
  <c r="B132" i="13"/>
  <c r="I131" i="13"/>
  <c r="H131" i="13"/>
  <c r="E132" i="13"/>
  <c r="F132" i="13" s="1"/>
  <c r="G53" i="31" l="1"/>
  <c r="G52" i="30"/>
  <c r="G53" i="29"/>
  <c r="G53" i="28"/>
  <c r="H54" i="27"/>
  <c r="H57" i="25"/>
  <c r="G55" i="24"/>
  <c r="G56" i="23"/>
  <c r="G57" i="22"/>
  <c r="H60" i="11"/>
  <c r="G62" i="10"/>
  <c r="E61" i="9"/>
  <c r="F61" i="9" s="1"/>
  <c r="H61" i="9" s="1"/>
  <c r="H59" i="8"/>
  <c r="G61" i="7"/>
  <c r="G59" i="6"/>
  <c r="G58" i="5"/>
  <c r="G58" i="4"/>
  <c r="G58" i="3"/>
  <c r="H50" i="44"/>
  <c r="D51" i="44"/>
  <c r="G50" i="44"/>
  <c r="I49" i="46"/>
  <c r="G51" i="37"/>
  <c r="I51" i="37" s="1"/>
  <c r="G50" i="45"/>
  <c r="I50" i="45" s="1"/>
  <c r="D55" i="27"/>
  <c r="H49" i="40"/>
  <c r="I49" i="40" s="1"/>
  <c r="H49" i="41"/>
  <c r="I49" i="41" s="1"/>
  <c r="D54" i="29"/>
  <c r="E54" i="29"/>
  <c r="D51" i="39"/>
  <c r="E51" i="39"/>
  <c r="D63" i="10"/>
  <c r="D54" i="31"/>
  <c r="D50" i="42"/>
  <c r="E50" i="42"/>
  <c r="D62" i="7"/>
  <c r="D58" i="25"/>
  <c r="B61" i="9"/>
  <c r="D59" i="5"/>
  <c r="D51" i="38"/>
  <c r="E51" i="38" s="1"/>
  <c r="G49" i="42"/>
  <c r="D49" i="43"/>
  <c r="E49" i="43"/>
  <c r="D59" i="4"/>
  <c r="E59" i="4"/>
  <c r="D57" i="23"/>
  <c r="E57" i="23"/>
  <c r="I50" i="13"/>
  <c r="I60" i="9"/>
  <c r="D50" i="40"/>
  <c r="E50" i="40" s="1"/>
  <c r="D50" i="41"/>
  <c r="E50" i="41" s="1"/>
  <c r="H50" i="38"/>
  <c r="I50" i="38" s="1"/>
  <c r="H49" i="42"/>
  <c r="D60" i="8"/>
  <c r="E60" i="8"/>
  <c r="D56" i="24"/>
  <c r="D53" i="30"/>
  <c r="E53" i="30"/>
  <c r="D60" i="6"/>
  <c r="D51" i="45"/>
  <c r="E51" i="45" s="1"/>
  <c r="G50" i="39"/>
  <c r="I50" i="39" s="1"/>
  <c r="D61" i="11"/>
  <c r="E61" i="11" s="1"/>
  <c r="D59" i="3"/>
  <c r="E59" i="3"/>
  <c r="D58" i="22"/>
  <c r="D52" i="37"/>
  <c r="E52" i="37" s="1"/>
  <c r="G48" i="43"/>
  <c r="I48" i="43" s="1"/>
  <c r="D54" i="28"/>
  <c r="B51" i="13"/>
  <c r="F51" i="13"/>
  <c r="G51" i="13" s="1"/>
  <c r="F50" i="46"/>
  <c r="B50" i="46"/>
  <c r="D133" i="13"/>
  <c r="E133" i="13" s="1"/>
  <c r="G132" i="13"/>
  <c r="E54" i="31" l="1"/>
  <c r="F54" i="31" s="1"/>
  <c r="H54" i="31" s="1"/>
  <c r="E54" i="28"/>
  <c r="F54" i="28" s="1"/>
  <c r="G54" i="28" s="1"/>
  <c r="E58" i="25"/>
  <c r="F58" i="25" s="1"/>
  <c r="H58" i="25" s="1"/>
  <c r="E56" i="24"/>
  <c r="F56" i="24" s="1"/>
  <c r="H56" i="24" s="1"/>
  <c r="E58" i="22"/>
  <c r="F58" i="22" s="1"/>
  <c r="H58" i="22" s="1"/>
  <c r="E63" i="10"/>
  <c r="F63" i="10" s="1"/>
  <c r="G63" i="10" s="1"/>
  <c r="G61" i="9"/>
  <c r="E62" i="7"/>
  <c r="F62" i="7" s="1"/>
  <c r="H62" i="7" s="1"/>
  <c r="E60" i="6"/>
  <c r="F60" i="6" s="1"/>
  <c r="G60" i="6" s="1"/>
  <c r="E59" i="5"/>
  <c r="F59" i="5" s="1"/>
  <c r="H59" i="5" s="1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H55" i="27" s="1"/>
  <c r="B60" i="8"/>
  <c r="F60" i="8"/>
  <c r="H60" i="8" s="1"/>
  <c r="F50" i="41"/>
  <c r="H50" i="41" s="1"/>
  <c r="B50" i="41"/>
  <c r="B59" i="4"/>
  <c r="F59" i="4"/>
  <c r="H59" i="4" s="1"/>
  <c r="F49" i="43"/>
  <c r="H49" i="43" s="1"/>
  <c r="B49" i="43"/>
  <c r="B58" i="25"/>
  <c r="B62" i="7"/>
  <c r="B50" i="42"/>
  <c r="F50" i="42"/>
  <c r="H50" i="42" s="1"/>
  <c r="B54" i="29"/>
  <c r="F54" i="29"/>
  <c r="H54" i="29" s="1"/>
  <c r="D51" i="46"/>
  <c r="E51" i="46" s="1"/>
  <c r="D52" i="13"/>
  <c r="B54" i="28"/>
  <c r="F52" i="37"/>
  <c r="G52" i="37" s="1"/>
  <c r="B52" i="37"/>
  <c r="B58" i="22"/>
  <c r="B60" i="6"/>
  <c r="B56" i="24"/>
  <c r="D62" i="9"/>
  <c r="H50" i="46"/>
  <c r="I53" i="28"/>
  <c r="I57" i="22"/>
  <c r="F50" i="40"/>
  <c r="H50" i="40" s="1"/>
  <c r="B50" i="40"/>
  <c r="I56" i="23"/>
  <c r="B59" i="5"/>
  <c r="B54" i="31"/>
  <c r="I62" i="10"/>
  <c r="B51" i="39"/>
  <c r="F51" i="39"/>
  <c r="G50" i="46"/>
  <c r="H51" i="13"/>
  <c r="I51" i="13" s="1"/>
  <c r="F59" i="3"/>
  <c r="H59" i="3" s="1"/>
  <c r="B59" i="3"/>
  <c r="F61" i="11"/>
  <c r="H61" i="11" s="1"/>
  <c r="B61" i="11"/>
  <c r="F51" i="45"/>
  <c r="G51" i="45" s="1"/>
  <c r="B51" i="45"/>
  <c r="F53" i="30"/>
  <c r="H53" i="30" s="1"/>
  <c r="B53" i="30"/>
  <c r="F57" i="23"/>
  <c r="H57" i="23" s="1"/>
  <c r="B57" i="23"/>
  <c r="F51" i="38"/>
  <c r="G51" i="38" s="1"/>
  <c r="B51" i="38"/>
  <c r="I53" i="31"/>
  <c r="B63" i="10"/>
  <c r="B133" i="13"/>
  <c r="F133" i="13"/>
  <c r="I132" i="13"/>
  <c r="H132" i="13"/>
  <c r="G54" i="31" l="1"/>
  <c r="G53" i="30"/>
  <c r="G54" i="29"/>
  <c r="H54" i="28"/>
  <c r="G55" i="27"/>
  <c r="G58" i="25"/>
  <c r="G56" i="24"/>
  <c r="G57" i="23"/>
  <c r="G58" i="22"/>
  <c r="G61" i="11"/>
  <c r="H63" i="10"/>
  <c r="E62" i="9"/>
  <c r="F62" i="9" s="1"/>
  <c r="G62" i="9" s="1"/>
  <c r="G60" i="8"/>
  <c r="G62" i="7"/>
  <c r="H60" i="6"/>
  <c r="G59" i="5"/>
  <c r="G59" i="4"/>
  <c r="G59" i="3"/>
  <c r="H51" i="44"/>
  <c r="G51" i="44"/>
  <c r="D52" i="44"/>
  <c r="H51" i="45"/>
  <c r="I51" i="45" s="1"/>
  <c r="H52" i="37"/>
  <c r="I52" i="37" s="1"/>
  <c r="G50" i="40"/>
  <c r="I50" i="40" s="1"/>
  <c r="D56" i="27"/>
  <c r="I61" i="9"/>
  <c r="D58" i="23"/>
  <c r="E58" i="23"/>
  <c r="D62" i="11"/>
  <c r="D60" i="4"/>
  <c r="D64" i="10"/>
  <c r="D52" i="39"/>
  <c r="E52" i="39" s="1"/>
  <c r="D60" i="5"/>
  <c r="I50" i="46"/>
  <c r="D61" i="6"/>
  <c r="E61" i="6" s="1"/>
  <c r="D55" i="28"/>
  <c r="F51" i="46"/>
  <c r="B51" i="46"/>
  <c r="D51" i="42"/>
  <c r="E51" i="42"/>
  <c r="D63" i="7"/>
  <c r="D51" i="41"/>
  <c r="E51" i="41"/>
  <c r="D52" i="38"/>
  <c r="E52" i="38"/>
  <c r="H51" i="38"/>
  <c r="I51" i="38" s="1"/>
  <c r="D54" i="30"/>
  <c r="E54" i="30"/>
  <c r="D52" i="45"/>
  <c r="E52" i="45" s="1"/>
  <c r="D60" i="3"/>
  <c r="E60" i="3"/>
  <c r="G51" i="39"/>
  <c r="D55" i="31"/>
  <c r="D51" i="40"/>
  <c r="E51" i="40"/>
  <c r="D57" i="24"/>
  <c r="E57" i="24"/>
  <c r="D59" i="22"/>
  <c r="E59" i="22"/>
  <c r="B52" i="13"/>
  <c r="D55" i="29"/>
  <c r="D50" i="43"/>
  <c r="E50" i="43" s="1"/>
  <c r="D61" i="8"/>
  <c r="E61" i="8" s="1"/>
  <c r="H51" i="39"/>
  <c r="B62" i="9"/>
  <c r="D53" i="37"/>
  <c r="E53" i="37" s="1"/>
  <c r="E52" i="13"/>
  <c r="F52" i="13" s="1"/>
  <c r="G50" i="42"/>
  <c r="I50" i="42" s="1"/>
  <c r="D59" i="25"/>
  <c r="G49" i="43"/>
  <c r="I49" i="43" s="1"/>
  <c r="G50" i="41"/>
  <c r="I50" i="41" s="1"/>
  <c r="G133" i="13"/>
  <c r="D134" i="13"/>
  <c r="E55" i="31" l="1"/>
  <c r="F55" i="31" s="1"/>
  <c r="G55" i="31" s="1"/>
  <c r="E55" i="29"/>
  <c r="E55" i="28"/>
  <c r="F55" i="28" s="1"/>
  <c r="G55" i="28" s="1"/>
  <c r="E56" i="27"/>
  <c r="F56" i="27" s="1"/>
  <c r="H56" i="27" s="1"/>
  <c r="E59" i="25"/>
  <c r="F59" i="25" s="1"/>
  <c r="G59" i="25" s="1"/>
  <c r="E62" i="11"/>
  <c r="F62" i="11" s="1"/>
  <c r="H62" i="11" s="1"/>
  <c r="E64" i="10"/>
  <c r="F64" i="10" s="1"/>
  <c r="H64" i="10" s="1"/>
  <c r="H62" i="9"/>
  <c r="E63" i="7"/>
  <c r="F63" i="7" s="1"/>
  <c r="H63" i="7" s="1"/>
  <c r="E60" i="5"/>
  <c r="F60" i="5" s="1"/>
  <c r="H60" i="5" s="1"/>
  <c r="E60" i="4"/>
  <c r="F60" i="4" s="1"/>
  <c r="H60" i="4" s="1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D53" i="13"/>
  <c r="E53" i="13" s="1"/>
  <c r="H52" i="13"/>
  <c r="G52" i="13"/>
  <c r="I58" i="25"/>
  <c r="B54" i="30"/>
  <c r="F54" i="30"/>
  <c r="H54" i="30" s="1"/>
  <c r="D52" i="46"/>
  <c r="B55" i="28"/>
  <c r="F61" i="6"/>
  <c r="H61" i="6" s="1"/>
  <c r="B61" i="6"/>
  <c r="B60" i="4"/>
  <c r="D63" i="9"/>
  <c r="E63" i="9" s="1"/>
  <c r="F61" i="8"/>
  <c r="H61" i="8" s="1"/>
  <c r="B61" i="8"/>
  <c r="I54" i="29"/>
  <c r="F52" i="38"/>
  <c r="H52" i="38" s="1"/>
  <c r="B52" i="38"/>
  <c r="F51" i="42"/>
  <c r="G51" i="42" s="1"/>
  <c r="B51" i="42"/>
  <c r="G51" i="46"/>
  <c r="B64" i="10"/>
  <c r="B59" i="22"/>
  <c r="F59" i="22"/>
  <c r="G59" i="22" s="1"/>
  <c r="F51" i="40"/>
  <c r="G51" i="40" s="1"/>
  <c r="B51" i="40"/>
  <c r="B55" i="31"/>
  <c r="F52" i="45"/>
  <c r="G52" i="45" s="1"/>
  <c r="B52" i="45"/>
  <c r="B63" i="7"/>
  <c r="B52" i="39"/>
  <c r="F52" i="39"/>
  <c r="H52" i="39" s="1"/>
  <c r="B62" i="11"/>
  <c r="F58" i="23"/>
  <c r="H58" i="23" s="1"/>
  <c r="B58" i="23"/>
  <c r="B59" i="25"/>
  <c r="B53" i="37"/>
  <c r="F53" i="37"/>
  <c r="H53" i="37" s="1"/>
  <c r="F50" i="43"/>
  <c r="G50" i="43" s="1"/>
  <c r="B50" i="43"/>
  <c r="B55" i="29"/>
  <c r="F55" i="29"/>
  <c r="H55" i="29" s="1"/>
  <c r="I58" i="22"/>
  <c r="B57" i="24"/>
  <c r="F57" i="24"/>
  <c r="G57" i="24" s="1"/>
  <c r="F60" i="3"/>
  <c r="H60" i="3" s="1"/>
  <c r="B60" i="3"/>
  <c r="F51" i="41"/>
  <c r="G51" i="41" s="1"/>
  <c r="B51" i="41"/>
  <c r="I62" i="7"/>
  <c r="H51" i="46"/>
  <c r="I54" i="28"/>
  <c r="B60" i="5"/>
  <c r="I59" i="4"/>
  <c r="I57" i="23"/>
  <c r="B134" i="13"/>
  <c r="E134" i="13"/>
  <c r="F134" i="13" s="1"/>
  <c r="H133" i="13"/>
  <c r="I133" i="13"/>
  <c r="G62" i="11" l="1"/>
  <c r="H55" i="31"/>
  <c r="G54" i="30"/>
  <c r="G55" i="29"/>
  <c r="H55" i="28"/>
  <c r="G56" i="27"/>
  <c r="H59" i="25"/>
  <c r="H57" i="24"/>
  <c r="G58" i="23"/>
  <c r="H59" i="22"/>
  <c r="G64" i="10"/>
  <c r="G61" i="8"/>
  <c r="G63" i="7"/>
  <c r="G61" i="6"/>
  <c r="G60" i="5"/>
  <c r="G60" i="4"/>
  <c r="G60" i="3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I52" i="13"/>
  <c r="D61" i="3"/>
  <c r="D63" i="11"/>
  <c r="D56" i="31"/>
  <c r="D52" i="40"/>
  <c r="E52" i="40" s="1"/>
  <c r="D65" i="10"/>
  <c r="G52" i="38"/>
  <c r="I52" i="38" s="1"/>
  <c r="D62" i="8"/>
  <c r="I62" i="9"/>
  <c r="D62" i="6"/>
  <c r="B52" i="46"/>
  <c r="D52" i="41"/>
  <c r="E52" i="41" s="1"/>
  <c r="D56" i="29"/>
  <c r="D60" i="22"/>
  <c r="E60" i="22" s="1"/>
  <c r="D52" i="42"/>
  <c r="E52" i="42"/>
  <c r="D61" i="4"/>
  <c r="D55" i="30"/>
  <c r="D61" i="5"/>
  <c r="H51" i="41"/>
  <c r="I51" i="41" s="1"/>
  <c r="D58" i="24"/>
  <c r="D51" i="43"/>
  <c r="E51" i="43"/>
  <c r="D59" i="23"/>
  <c r="E59" i="23"/>
  <c r="D53" i="39"/>
  <c r="E53" i="39" s="1"/>
  <c r="D64" i="7"/>
  <c r="D53" i="45"/>
  <c r="E53" i="45" s="1"/>
  <c r="D56" i="28"/>
  <c r="D54" i="37"/>
  <c r="E54" i="37"/>
  <c r="D60" i="25"/>
  <c r="E60" i="25"/>
  <c r="H51" i="42"/>
  <c r="I51" i="42" s="1"/>
  <c r="D53" i="38"/>
  <c r="E53" i="38" s="1"/>
  <c r="B63" i="9"/>
  <c r="F63" i="9"/>
  <c r="H63" i="9" s="1"/>
  <c r="E52" i="46"/>
  <c r="F52" i="46" s="1"/>
  <c r="B53" i="13"/>
  <c r="F53" i="13"/>
  <c r="H53" i="13" s="1"/>
  <c r="D135" i="13"/>
  <c r="G134" i="13"/>
  <c r="E56" i="31" l="1"/>
  <c r="F56" i="31" s="1"/>
  <c r="G56" i="31" s="1"/>
  <c r="E55" i="30"/>
  <c r="F55" i="30" s="1"/>
  <c r="G55" i="30" s="1"/>
  <c r="E56" i="29"/>
  <c r="F56" i="29" s="1"/>
  <c r="H56" i="29" s="1"/>
  <c r="E56" i="28"/>
  <c r="F56" i="28" s="1"/>
  <c r="G56" i="28" s="1"/>
  <c r="E58" i="24"/>
  <c r="F58" i="24" s="1"/>
  <c r="H58" i="24" s="1"/>
  <c r="E63" i="11"/>
  <c r="F63" i="11" s="1"/>
  <c r="G63" i="11" s="1"/>
  <c r="G63" i="9"/>
  <c r="E62" i="8"/>
  <c r="F62" i="8" s="1"/>
  <c r="H62" i="8" s="1"/>
  <c r="E64" i="7"/>
  <c r="F64" i="7" s="1"/>
  <c r="G64" i="7" s="1"/>
  <c r="E62" i="6"/>
  <c r="F62" i="6" s="1"/>
  <c r="H62" i="6" s="1"/>
  <c r="E61" i="5"/>
  <c r="F61" i="5" s="1"/>
  <c r="H61" i="5" s="1"/>
  <c r="E61" i="4"/>
  <c r="F61" i="4" s="1"/>
  <c r="G61" i="4" s="1"/>
  <c r="E61" i="3"/>
  <c r="F61" i="3" s="1"/>
  <c r="H61" i="3" s="1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H57" i="27" s="1"/>
  <c r="I55" i="28"/>
  <c r="I60" i="4"/>
  <c r="I55" i="31"/>
  <c r="D53" i="46"/>
  <c r="E53" i="46" s="1"/>
  <c r="H52" i="46"/>
  <c r="G52" i="46"/>
  <c r="F60" i="25"/>
  <c r="H60" i="25" s="1"/>
  <c r="B60" i="25"/>
  <c r="B54" i="37"/>
  <c r="F54" i="37"/>
  <c r="G54" i="37" s="1"/>
  <c r="F52" i="42"/>
  <c r="H52" i="42" s="1"/>
  <c r="B52" i="42"/>
  <c r="F60" i="22"/>
  <c r="H60" i="22" s="1"/>
  <c r="B60" i="22"/>
  <c r="I55" i="29"/>
  <c r="B65" i="10"/>
  <c r="I62" i="11"/>
  <c r="D54" i="13"/>
  <c r="E54" i="13" s="1"/>
  <c r="B53" i="38"/>
  <c r="F53" i="38"/>
  <c r="G53" i="38" s="1"/>
  <c r="I59" i="25"/>
  <c r="B64" i="7"/>
  <c r="B53" i="39"/>
  <c r="F53" i="39"/>
  <c r="G53" i="39" s="1"/>
  <c r="B59" i="23"/>
  <c r="F59" i="23"/>
  <c r="G59" i="23" s="1"/>
  <c r="B62" i="6"/>
  <c r="I64" i="10"/>
  <c r="B61" i="3"/>
  <c r="D64" i="9"/>
  <c r="B56" i="28"/>
  <c r="B58" i="24"/>
  <c r="B61" i="4"/>
  <c r="F52" i="41"/>
  <c r="H52" i="41" s="1"/>
  <c r="B52" i="41"/>
  <c r="B62" i="8"/>
  <c r="B52" i="40"/>
  <c r="F52" i="40"/>
  <c r="G52" i="40" s="1"/>
  <c r="B56" i="31"/>
  <c r="B63" i="11"/>
  <c r="I60" i="3"/>
  <c r="G53" i="13"/>
  <c r="I53" i="13" s="1"/>
  <c r="B53" i="45"/>
  <c r="F53" i="45"/>
  <c r="G53" i="45" s="1"/>
  <c r="I63" i="7"/>
  <c r="I58" i="23"/>
  <c r="B51" i="43"/>
  <c r="F51" i="43"/>
  <c r="H51" i="43" s="1"/>
  <c r="B61" i="5"/>
  <c r="B55" i="30"/>
  <c r="I59" i="22"/>
  <c r="B56" i="29"/>
  <c r="E65" i="10"/>
  <c r="F65" i="10" s="1"/>
  <c r="H65" i="10" s="1"/>
  <c r="B135" i="13"/>
  <c r="I134" i="13"/>
  <c r="H134" i="13"/>
  <c r="E135" i="13"/>
  <c r="F135" i="13" s="1"/>
  <c r="H56" i="31" l="1"/>
  <c r="H55" i="30"/>
  <c r="G56" i="29"/>
  <c r="H56" i="28"/>
  <c r="G57" i="27"/>
  <c r="G60" i="25"/>
  <c r="G58" i="24"/>
  <c r="H59" i="23"/>
  <c r="G60" i="22"/>
  <c r="H63" i="11"/>
  <c r="G65" i="10"/>
  <c r="E64" i="9"/>
  <c r="F64" i="9" s="1"/>
  <c r="H64" i="9" s="1"/>
  <c r="G62" i="8"/>
  <c r="H64" i="7"/>
  <c r="G62" i="6"/>
  <c r="G61" i="5"/>
  <c r="H61" i="4"/>
  <c r="G61" i="3"/>
  <c r="G52" i="41"/>
  <c r="I52" i="41" s="1"/>
  <c r="D54" i="44"/>
  <c r="H53" i="44"/>
  <c r="G53" i="44"/>
  <c r="I52" i="46"/>
  <c r="G51" i="43"/>
  <c r="I51" i="43" s="1"/>
  <c r="I63" i="9"/>
  <c r="D58" i="27"/>
  <c r="E58" i="27" s="1"/>
  <c r="H53" i="45"/>
  <c r="I53" i="45" s="1"/>
  <c r="H53" i="39"/>
  <c r="I53" i="39" s="1"/>
  <c r="G52" i="42"/>
  <c r="I52" i="42" s="1"/>
  <c r="H54" i="37"/>
  <c r="I54" i="37" s="1"/>
  <c r="D66" i="10"/>
  <c r="D57" i="29"/>
  <c r="D53" i="40"/>
  <c r="E53" i="40" s="1"/>
  <c r="D60" i="23"/>
  <c r="D61" i="22"/>
  <c r="D62" i="5"/>
  <c r="D57" i="28"/>
  <c r="D54" i="38"/>
  <c r="E54" i="38"/>
  <c r="D57" i="31"/>
  <c r="D62" i="4"/>
  <c r="B64" i="9"/>
  <c r="D63" i="6"/>
  <c r="D54" i="39"/>
  <c r="E54" i="39"/>
  <c r="F54" i="13"/>
  <c r="H54" i="13" s="1"/>
  <c r="B54" i="13"/>
  <c r="D61" i="25"/>
  <c r="D56" i="30"/>
  <c r="D52" i="43"/>
  <c r="E52" i="43" s="1"/>
  <c r="D54" i="45"/>
  <c r="E54" i="45" s="1"/>
  <c r="D64" i="11"/>
  <c r="H52" i="40"/>
  <c r="I52" i="40" s="1"/>
  <c r="D63" i="8"/>
  <c r="D53" i="41"/>
  <c r="E53" i="41"/>
  <c r="D59" i="24"/>
  <c r="E59" i="24"/>
  <c r="D62" i="3"/>
  <c r="E62" i="3" s="1"/>
  <c r="D65" i="7"/>
  <c r="H53" i="38"/>
  <c r="I53" i="38" s="1"/>
  <c r="D53" i="42"/>
  <c r="E53" i="42"/>
  <c r="D55" i="37"/>
  <c r="E55" i="37"/>
  <c r="F53" i="46"/>
  <c r="B53" i="46"/>
  <c r="G135" i="13"/>
  <c r="D136" i="13"/>
  <c r="E57" i="31" l="1"/>
  <c r="F57" i="31" s="1"/>
  <c r="H57" i="31" s="1"/>
  <c r="E56" i="30"/>
  <c r="F56" i="30" s="1"/>
  <c r="H56" i="30" s="1"/>
  <c r="E57" i="29"/>
  <c r="F57" i="29" s="1"/>
  <c r="H57" i="29" s="1"/>
  <c r="E57" i="28"/>
  <c r="F57" i="28" s="1"/>
  <c r="H57" i="28" s="1"/>
  <c r="E61" i="25"/>
  <c r="F61" i="25" s="1"/>
  <c r="G61" i="25" s="1"/>
  <c r="E60" i="23"/>
  <c r="F60" i="23" s="1"/>
  <c r="H60" i="23" s="1"/>
  <c r="E61" i="22"/>
  <c r="F61" i="22" s="1"/>
  <c r="H61" i="22" s="1"/>
  <c r="E64" i="11"/>
  <c r="F64" i="11" s="1"/>
  <c r="H64" i="11" s="1"/>
  <c r="E66" i="10"/>
  <c r="F66" i="10" s="1"/>
  <c r="H66" i="10" s="1"/>
  <c r="G64" i="9"/>
  <c r="E63" i="8"/>
  <c r="F63" i="8" s="1"/>
  <c r="H63" i="8" s="1"/>
  <c r="E63" i="6"/>
  <c r="F63" i="6" s="1"/>
  <c r="H63" i="6" s="1"/>
  <c r="E62" i="5"/>
  <c r="E62" i="4"/>
  <c r="F62" i="4" s="1"/>
  <c r="H62" i="4" s="1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G58" i="27" s="1"/>
  <c r="B58" i="27"/>
  <c r="I63" i="11"/>
  <c r="I55" i="30"/>
  <c r="I65" i="10"/>
  <c r="I57" i="27"/>
  <c r="D54" i="46"/>
  <c r="B65" i="7"/>
  <c r="F62" i="3"/>
  <c r="H62" i="3" s="1"/>
  <c r="B62" i="3"/>
  <c r="F59" i="24"/>
  <c r="H59" i="24" s="1"/>
  <c r="B59" i="24"/>
  <c r="F52" i="43"/>
  <c r="H52" i="43" s="1"/>
  <c r="B52" i="43"/>
  <c r="B56" i="30"/>
  <c r="D55" i="13"/>
  <c r="E55" i="13" s="1"/>
  <c r="D65" i="9"/>
  <c r="F54" i="38"/>
  <c r="G54" i="38" s="1"/>
  <c r="B54" i="38"/>
  <c r="B57" i="28"/>
  <c r="I59" i="23"/>
  <c r="F53" i="42"/>
  <c r="B53" i="42"/>
  <c r="G53" i="46"/>
  <c r="I64" i="7"/>
  <c r="I61" i="3"/>
  <c r="B63" i="6"/>
  <c r="F62" i="5"/>
  <c r="H62" i="5" s="1"/>
  <c r="B62" i="5"/>
  <c r="B61" i="22"/>
  <c r="B57" i="29"/>
  <c r="H53" i="46"/>
  <c r="B55" i="37"/>
  <c r="F55" i="37"/>
  <c r="H55" i="37" s="1"/>
  <c r="E65" i="7"/>
  <c r="F65" i="7" s="1"/>
  <c r="G65" i="7" s="1"/>
  <c r="B63" i="8"/>
  <c r="B64" i="11"/>
  <c r="F54" i="45"/>
  <c r="G54" i="45" s="1"/>
  <c r="B54" i="45"/>
  <c r="G54" i="13"/>
  <c r="I54" i="13" s="1"/>
  <c r="B54" i="39"/>
  <c r="F54" i="39"/>
  <c r="G54" i="39" s="1"/>
  <c r="I56" i="29"/>
  <c r="F53" i="41"/>
  <c r="B53" i="41"/>
  <c r="B61" i="25"/>
  <c r="B62" i="4"/>
  <c r="B57" i="31"/>
  <c r="B60" i="23"/>
  <c r="B53" i="40"/>
  <c r="F53" i="40"/>
  <c r="G53" i="40" s="1"/>
  <c r="B66" i="10"/>
  <c r="B136" i="13"/>
  <c r="E136" i="13"/>
  <c r="F136" i="13" s="1"/>
  <c r="H135" i="13"/>
  <c r="I135" i="13"/>
  <c r="G57" i="31" l="1"/>
  <c r="G56" i="30"/>
  <c r="G57" i="29"/>
  <c r="G57" i="28"/>
  <c r="H58" i="27"/>
  <c r="H61" i="25"/>
  <c r="G59" i="24"/>
  <c r="G60" i="23"/>
  <c r="G61" i="22"/>
  <c r="G64" i="11"/>
  <c r="G66" i="10"/>
  <c r="G63" i="8"/>
  <c r="H65" i="7"/>
  <c r="G63" i="6"/>
  <c r="G62" i="5"/>
  <c r="G62" i="4"/>
  <c r="G62" i="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D66" i="7"/>
  <c r="D58" i="31"/>
  <c r="D62" i="25"/>
  <c r="E62" i="25" s="1"/>
  <c r="D54" i="41"/>
  <c r="E54" i="41"/>
  <c r="D62" i="22"/>
  <c r="E62" i="22" s="1"/>
  <c r="D64" i="6"/>
  <c r="D54" i="42"/>
  <c r="E54" i="42" s="1"/>
  <c r="B65" i="9"/>
  <c r="D61" i="23"/>
  <c r="E61" i="23" s="1"/>
  <c r="D63" i="4"/>
  <c r="E65" i="9"/>
  <c r="F65" i="9" s="1"/>
  <c r="H65" i="9" s="1"/>
  <c r="B55" i="13"/>
  <c r="F55" i="13"/>
  <c r="G55" i="13" s="1"/>
  <c r="D60" i="24"/>
  <c r="D54" i="40"/>
  <c r="E54" i="40" s="1"/>
  <c r="G53" i="41"/>
  <c r="D55" i="45"/>
  <c r="E55" i="45" s="1"/>
  <c r="D64" i="8"/>
  <c r="E56" i="37"/>
  <c r="D56" i="37"/>
  <c r="D58" i="29"/>
  <c r="D63" i="5"/>
  <c r="G53" i="42"/>
  <c r="D58" i="28"/>
  <c r="D57" i="30"/>
  <c r="B54" i="46"/>
  <c r="D67" i="10"/>
  <c r="H53" i="40"/>
  <c r="I53" i="40" s="1"/>
  <c r="H53" i="41"/>
  <c r="D55" i="39"/>
  <c r="E55" i="39" s="1"/>
  <c r="H54" i="45"/>
  <c r="I54" i="45" s="1"/>
  <c r="D65" i="11"/>
  <c r="H53" i="42"/>
  <c r="D55" i="38"/>
  <c r="E55" i="38"/>
  <c r="D53" i="43"/>
  <c r="E53" i="43"/>
  <c r="D63" i="3"/>
  <c r="E54" i="46"/>
  <c r="F54" i="46" s="1"/>
  <c r="G136" i="13"/>
  <c r="D137" i="13"/>
  <c r="E58" i="31" l="1"/>
  <c r="F58" i="31" s="1"/>
  <c r="H58" i="31" s="1"/>
  <c r="E57" i="30"/>
  <c r="F57" i="30" s="1"/>
  <c r="H57" i="30" s="1"/>
  <c r="E58" i="29"/>
  <c r="F58" i="29" s="1"/>
  <c r="H58" i="29" s="1"/>
  <c r="E58" i="28"/>
  <c r="F58" i="28" s="1"/>
  <c r="G58" i="28" s="1"/>
  <c r="E59" i="27"/>
  <c r="F59" i="27" s="1"/>
  <c r="H59" i="27" s="1"/>
  <c r="E60" i="24"/>
  <c r="F60" i="24" s="1"/>
  <c r="H60" i="24" s="1"/>
  <c r="E65" i="11"/>
  <c r="F65" i="11" s="1"/>
  <c r="H65" i="11" s="1"/>
  <c r="E67" i="10"/>
  <c r="F67" i="10" s="1"/>
  <c r="G67" i="10" s="1"/>
  <c r="G65" i="9"/>
  <c r="E64" i="8"/>
  <c r="F64" i="8" s="1"/>
  <c r="H64" i="8" s="1"/>
  <c r="E66" i="7"/>
  <c r="F66" i="7" s="1"/>
  <c r="H66" i="7" s="1"/>
  <c r="E64" i="6"/>
  <c r="F64" i="6" s="1"/>
  <c r="H64" i="6" s="1"/>
  <c r="E63" i="5"/>
  <c r="F63" i="5" s="1"/>
  <c r="G63" i="5" s="1"/>
  <c r="E63" i="4"/>
  <c r="F63" i="4" s="1"/>
  <c r="H63" i="4" s="1"/>
  <c r="E63" i="3"/>
  <c r="F63" i="3" s="1"/>
  <c r="H63" i="3" s="1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I56" i="30"/>
  <c r="I57" i="28"/>
  <c r="H55" i="13"/>
  <c r="I55" i="13" s="1"/>
  <c r="I63" i="6"/>
  <c r="I61" i="25"/>
  <c r="I58" i="27"/>
  <c r="D66" i="9"/>
  <c r="D55" i="46"/>
  <c r="G54" i="46"/>
  <c r="H54" i="46"/>
  <c r="I64" i="11"/>
  <c r="F55" i="39"/>
  <c r="B55" i="39"/>
  <c r="I66" i="10"/>
  <c r="B58" i="29"/>
  <c r="F54" i="40"/>
  <c r="H54" i="40" s="1"/>
  <c r="B54" i="40"/>
  <c r="I59" i="24"/>
  <c r="F62" i="22"/>
  <c r="H62" i="22" s="1"/>
  <c r="B62" i="22"/>
  <c r="B53" i="43"/>
  <c r="F53" i="43"/>
  <c r="H53" i="43" s="1"/>
  <c r="B63" i="5"/>
  <c r="B64" i="8"/>
  <c r="F55" i="45"/>
  <c r="B55" i="45"/>
  <c r="F54" i="42"/>
  <c r="G54" i="42" s="1"/>
  <c r="B54" i="42"/>
  <c r="I61" i="22"/>
  <c r="I62" i="3"/>
  <c r="B57" i="30"/>
  <c r="B58" i="28"/>
  <c r="B56" i="37"/>
  <c r="F56" i="37"/>
  <c r="G56" i="37" s="1"/>
  <c r="I63" i="8"/>
  <c r="B60" i="24"/>
  <c r="D56" i="13"/>
  <c r="E56" i="13" s="1"/>
  <c r="B63" i="4"/>
  <c r="F61" i="23"/>
  <c r="H61" i="23" s="1"/>
  <c r="B61" i="23"/>
  <c r="B58" i="31"/>
  <c r="B63" i="3"/>
  <c r="B55" i="38"/>
  <c r="F55" i="38"/>
  <c r="G55" i="38" s="1"/>
  <c r="B65" i="11"/>
  <c r="B67" i="10"/>
  <c r="B64" i="6"/>
  <c r="B54" i="41"/>
  <c r="F54" i="41"/>
  <c r="H54" i="41" s="1"/>
  <c r="B62" i="25"/>
  <c r="F62" i="25"/>
  <c r="H62" i="25" s="1"/>
  <c r="B66" i="7"/>
  <c r="B137" i="13"/>
  <c r="H136" i="13"/>
  <c r="I136" i="13"/>
  <c r="E137" i="13"/>
  <c r="F137" i="13" s="1"/>
  <c r="G59" i="27" l="1"/>
  <c r="G58" i="31"/>
  <c r="G57" i="30"/>
  <c r="G58" i="29"/>
  <c r="H58" i="28"/>
  <c r="G62" i="25"/>
  <c r="G60" i="24"/>
  <c r="G61" i="23"/>
  <c r="G62" i="22"/>
  <c r="G65" i="11"/>
  <c r="H67" i="10"/>
  <c r="G64" i="8"/>
  <c r="G66" i="7"/>
  <c r="G64" i="6"/>
  <c r="H63" i="5"/>
  <c r="G63" i="4"/>
  <c r="G63" i="3"/>
  <c r="H55" i="44"/>
  <c r="D56" i="44"/>
  <c r="G55" i="44"/>
  <c r="I54" i="46"/>
  <c r="I65" i="9"/>
  <c r="G54" i="41"/>
  <c r="I54" i="41" s="1"/>
  <c r="H56" i="37"/>
  <c r="I56" i="37" s="1"/>
  <c r="H55" i="38"/>
  <c r="I55" i="38" s="1"/>
  <c r="D60" i="27"/>
  <c r="D64" i="4"/>
  <c r="D56" i="45"/>
  <c r="E56" i="45" s="1"/>
  <c r="D56" i="39"/>
  <c r="E56" i="39" s="1"/>
  <c r="B66" i="9"/>
  <c r="D67" i="7"/>
  <c r="D63" i="25"/>
  <c r="D56" i="38"/>
  <c r="E56" i="38" s="1"/>
  <c r="D64" i="3"/>
  <c r="D58" i="30"/>
  <c r="E58" i="30"/>
  <c r="G55" i="45"/>
  <c r="D65" i="8"/>
  <c r="D59" i="29"/>
  <c r="E59" i="29"/>
  <c r="G55" i="39"/>
  <c r="E66" i="9"/>
  <c r="F66" i="9" s="1"/>
  <c r="H66" i="9" s="1"/>
  <c r="D68" i="10"/>
  <c r="D62" i="23"/>
  <c r="B56" i="13"/>
  <c r="F56" i="13"/>
  <c r="H56" i="13" s="1"/>
  <c r="D57" i="37"/>
  <c r="E57" i="37" s="1"/>
  <c r="D59" i="28"/>
  <c r="D55" i="42"/>
  <c r="E55" i="42" s="1"/>
  <c r="D54" i="43"/>
  <c r="E54" i="43" s="1"/>
  <c r="D63" i="22"/>
  <c r="D55" i="40"/>
  <c r="E55" i="40" s="1"/>
  <c r="H55" i="39"/>
  <c r="B55" i="46"/>
  <c r="D55" i="41"/>
  <c r="E55" i="41" s="1"/>
  <c r="D65" i="6"/>
  <c r="D66" i="11"/>
  <c r="D59" i="31"/>
  <c r="D61" i="24"/>
  <c r="H54" i="42"/>
  <c r="I54" i="42" s="1"/>
  <c r="H55" i="45"/>
  <c r="D64" i="5"/>
  <c r="G53" i="43"/>
  <c r="I53" i="43" s="1"/>
  <c r="G54" i="40"/>
  <c r="I54" i="40" s="1"/>
  <c r="E55" i="46"/>
  <c r="F55" i="46" s="1"/>
  <c r="G137" i="13"/>
  <c r="D138" i="13"/>
  <c r="I55" i="44" l="1"/>
  <c r="E59" i="31"/>
  <c r="F59" i="31" s="1"/>
  <c r="G59" i="31" s="1"/>
  <c r="E59" i="28"/>
  <c r="F59" i="28" s="1"/>
  <c r="H59" i="28" s="1"/>
  <c r="E60" i="27"/>
  <c r="F60" i="27" s="1"/>
  <c r="H60" i="27" s="1"/>
  <c r="E63" i="25"/>
  <c r="F63" i="25" s="1"/>
  <c r="G63" i="25" s="1"/>
  <c r="E61" i="24"/>
  <c r="F61" i="24" s="1"/>
  <c r="G61" i="24" s="1"/>
  <c r="E62" i="23"/>
  <c r="F62" i="23" s="1"/>
  <c r="H62" i="23" s="1"/>
  <c r="E63" i="22"/>
  <c r="F63" i="22" s="1"/>
  <c r="H63" i="22" s="1"/>
  <c r="E66" i="11"/>
  <c r="F66" i="11" s="1"/>
  <c r="H66" i="11" s="1"/>
  <c r="G66" i="9"/>
  <c r="I66" i="9" s="1"/>
  <c r="E65" i="6"/>
  <c r="F65" i="6" s="1"/>
  <c r="H65" i="6" s="1"/>
  <c r="E64" i="5"/>
  <c r="F64" i="5" s="1"/>
  <c r="H64" i="5" s="1"/>
  <c r="E64" i="3"/>
  <c r="F64" i="3" s="1"/>
  <c r="G64" i="3" s="1"/>
  <c r="E56" i="44"/>
  <c r="F56" i="44" s="1"/>
  <c r="B56" i="44"/>
  <c r="I61" i="23"/>
  <c r="I55" i="45"/>
  <c r="G56" i="13"/>
  <c r="I56" i="13" s="1"/>
  <c r="I60" i="24"/>
  <c r="I67" i="10"/>
  <c r="I59" i="27"/>
  <c r="I58" i="31"/>
  <c r="I63" i="3"/>
  <c r="I62" i="25"/>
  <c r="I58" i="28"/>
  <c r="I57" i="30"/>
  <c r="I64" i="6"/>
  <c r="B60" i="27"/>
  <c r="D67" i="9"/>
  <c r="D56" i="46"/>
  <c r="E56" i="46" s="1"/>
  <c r="G55" i="46"/>
  <c r="H55" i="46"/>
  <c r="B66" i="11"/>
  <c r="B62" i="23"/>
  <c r="B68" i="10"/>
  <c r="B63" i="25"/>
  <c r="B55" i="40"/>
  <c r="F55" i="40"/>
  <c r="H55" i="40" s="1"/>
  <c r="B63" i="22"/>
  <c r="B59" i="28"/>
  <c r="B57" i="37"/>
  <c r="F57" i="37"/>
  <c r="B59" i="29"/>
  <c r="F59" i="29"/>
  <c r="H59" i="29" s="1"/>
  <c r="B65" i="8"/>
  <c r="B64" i="3"/>
  <c r="B56" i="38"/>
  <c r="F56" i="38"/>
  <c r="G56" i="38" s="1"/>
  <c r="B67" i="7"/>
  <c r="F56" i="39"/>
  <c r="H56" i="39" s="1"/>
  <c r="B56" i="39"/>
  <c r="B64" i="4"/>
  <c r="B61" i="24"/>
  <c r="B59" i="31"/>
  <c r="I65" i="11"/>
  <c r="B55" i="41"/>
  <c r="F55" i="41"/>
  <c r="H55" i="41" s="1"/>
  <c r="E68" i="10"/>
  <c r="F68" i="10" s="1"/>
  <c r="H68" i="10" s="1"/>
  <c r="I64" i="8"/>
  <c r="F58" i="30"/>
  <c r="H58" i="30" s="1"/>
  <c r="B58" i="30"/>
  <c r="E67" i="7"/>
  <c r="F67" i="7" s="1"/>
  <c r="H67" i="7" s="1"/>
  <c r="I63" i="4"/>
  <c r="B64" i="5"/>
  <c r="B65" i="6"/>
  <c r="I55" i="39"/>
  <c r="I62" i="22"/>
  <c r="F54" i="43"/>
  <c r="H54" i="43" s="1"/>
  <c r="B54" i="43"/>
  <c r="B55" i="42"/>
  <c r="F55" i="42"/>
  <c r="G55" i="42" s="1"/>
  <c r="D57" i="13"/>
  <c r="E57" i="13" s="1"/>
  <c r="I58" i="29"/>
  <c r="E65" i="8"/>
  <c r="F65" i="8" s="1"/>
  <c r="H65" i="8" s="1"/>
  <c r="I66" i="7"/>
  <c r="B56" i="45"/>
  <c r="F56" i="45"/>
  <c r="H56" i="45" s="1"/>
  <c r="E64" i="4"/>
  <c r="F64" i="4" s="1"/>
  <c r="H64" i="4" s="1"/>
  <c r="B138" i="13"/>
  <c r="H137" i="13"/>
  <c r="I137" i="13"/>
  <c r="E138" i="13"/>
  <c r="F138" i="13" s="1"/>
  <c r="G66" i="11" l="1"/>
  <c r="G59" i="28"/>
  <c r="G60" i="27"/>
  <c r="H59" i="31"/>
  <c r="G58" i="30"/>
  <c r="G59" i="29"/>
  <c r="H63" i="25"/>
  <c r="H61" i="24"/>
  <c r="G62" i="23"/>
  <c r="G63" i="22"/>
  <c r="G68" i="10"/>
  <c r="E67" i="9"/>
  <c r="F67" i="9" s="1"/>
  <c r="G65" i="8"/>
  <c r="G67" i="7"/>
  <c r="G65" i="6"/>
  <c r="G64" i="5"/>
  <c r="G64" i="4"/>
  <c r="H64" i="3"/>
  <c r="I55" i="46"/>
  <c r="D57" i="44"/>
  <c r="G56" i="44"/>
  <c r="H56" i="44"/>
  <c r="G56" i="39"/>
  <c r="I56" i="39" s="1"/>
  <c r="G56" i="45"/>
  <c r="I56" i="45" s="1"/>
  <c r="G54" i="43"/>
  <c r="I54" i="43" s="1"/>
  <c r="D61" i="27"/>
  <c r="D65" i="4"/>
  <c r="D68" i="7"/>
  <c r="D69" i="10"/>
  <c r="D66" i="8"/>
  <c r="D62" i="24"/>
  <c r="E62" i="24" s="1"/>
  <c r="D58" i="37"/>
  <c r="E58" i="37" s="1"/>
  <c r="D60" i="28"/>
  <c r="E60" i="28" s="1"/>
  <c r="D56" i="42"/>
  <c r="E56" i="42" s="1"/>
  <c r="D59" i="30"/>
  <c r="D56" i="41"/>
  <c r="E56" i="41"/>
  <c r="H56" i="38"/>
  <c r="I56" i="38" s="1"/>
  <c r="G57" i="37"/>
  <c r="D56" i="40"/>
  <c r="E56" i="40" s="1"/>
  <c r="D64" i="25"/>
  <c r="E64" i="25" s="1"/>
  <c r="D63" i="23"/>
  <c r="B67" i="9"/>
  <c r="D57" i="45"/>
  <c r="E57" i="45" s="1"/>
  <c r="F57" i="13"/>
  <c r="H57" i="13" s="1"/>
  <c r="B57" i="13"/>
  <c r="D55" i="43"/>
  <c r="E55" i="43" s="1"/>
  <c r="D66" i="6"/>
  <c r="G55" i="41"/>
  <c r="I55" i="41" s="1"/>
  <c r="D57" i="39"/>
  <c r="E57" i="39" s="1"/>
  <c r="D60" i="29"/>
  <c r="E60" i="29" s="1"/>
  <c r="H57" i="37"/>
  <c r="D64" i="22"/>
  <c r="H55" i="42"/>
  <c r="I55" i="42" s="1"/>
  <c r="D65" i="5"/>
  <c r="D60" i="31"/>
  <c r="D57" i="38"/>
  <c r="E57" i="38"/>
  <c r="D65" i="3"/>
  <c r="G55" i="40"/>
  <c r="I55" i="40" s="1"/>
  <c r="D67" i="11"/>
  <c r="F56" i="46"/>
  <c r="H56" i="46" s="1"/>
  <c r="B56" i="46"/>
  <c r="G138" i="13"/>
  <c r="D139" i="13"/>
  <c r="E139" i="13" s="1"/>
  <c r="I56" i="44" l="1"/>
  <c r="I57" i="37"/>
  <c r="E60" i="31"/>
  <c r="F60" i="31" s="1"/>
  <c r="G60" i="31" s="1"/>
  <c r="E59" i="30"/>
  <c r="F59" i="30" s="1"/>
  <c r="H59" i="30" s="1"/>
  <c r="E63" i="23"/>
  <c r="F63" i="23" s="1"/>
  <c r="G63" i="23" s="1"/>
  <c r="E64" i="22"/>
  <c r="F64" i="22" s="1"/>
  <c r="H64" i="22" s="1"/>
  <c r="E67" i="11"/>
  <c r="F67" i="11" s="1"/>
  <c r="G67" i="11" s="1"/>
  <c r="E69" i="10"/>
  <c r="F69" i="10" s="1"/>
  <c r="G69" i="10" s="1"/>
  <c r="H67" i="9"/>
  <c r="G67" i="9"/>
  <c r="E66" i="8"/>
  <c r="F66" i="8" s="1"/>
  <c r="H66" i="8" s="1"/>
  <c r="E68" i="7"/>
  <c r="F68" i="7" s="1"/>
  <c r="H68" i="7" s="1"/>
  <c r="E66" i="6"/>
  <c r="F66" i="6" s="1"/>
  <c r="H66" i="6" s="1"/>
  <c r="E65" i="5"/>
  <c r="F65" i="5" s="1"/>
  <c r="G65" i="5" s="1"/>
  <c r="E65" i="4"/>
  <c r="F65" i="4" s="1"/>
  <c r="G65" i="4" s="1"/>
  <c r="E65" i="3"/>
  <c r="F65" i="3" s="1"/>
  <c r="G65" i="3" s="1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H61" i="27" s="1"/>
  <c r="B61" i="27"/>
  <c r="I66" i="11"/>
  <c r="I59" i="31"/>
  <c r="I59" i="29"/>
  <c r="F64" i="25"/>
  <c r="H64" i="25" s="1"/>
  <c r="B64" i="25"/>
  <c r="I61" i="24"/>
  <c r="D57" i="46"/>
  <c r="E57" i="46" s="1"/>
  <c r="B60" i="31"/>
  <c r="B55" i="43"/>
  <c r="F55" i="43"/>
  <c r="G55" i="43" s="1"/>
  <c r="D58" i="13"/>
  <c r="D68" i="9"/>
  <c r="B59" i="30"/>
  <c r="B56" i="42"/>
  <c r="F56" i="42"/>
  <c r="B58" i="37"/>
  <c r="F58" i="37"/>
  <c r="F62" i="24"/>
  <c r="H62" i="24" s="1"/>
  <c r="B62" i="24"/>
  <c r="B67" i="11"/>
  <c r="B65" i="3"/>
  <c r="F57" i="38"/>
  <c r="G57" i="38" s="1"/>
  <c r="B57" i="38"/>
  <c r="B65" i="5"/>
  <c r="B57" i="39"/>
  <c r="F57" i="39"/>
  <c r="G57" i="39" s="1"/>
  <c r="I65" i="6"/>
  <c r="B60" i="28"/>
  <c r="F60" i="28"/>
  <c r="G60" i="28" s="1"/>
  <c r="B66" i="8"/>
  <c r="B69" i="10"/>
  <c r="B65" i="4"/>
  <c r="B64" i="22"/>
  <c r="B60" i="29"/>
  <c r="F60" i="29"/>
  <c r="H60" i="29" s="1"/>
  <c r="B66" i="6"/>
  <c r="G57" i="13"/>
  <c r="I57" i="13" s="1"/>
  <c r="B57" i="45"/>
  <c r="F57" i="45"/>
  <c r="B63" i="23"/>
  <c r="F56" i="40"/>
  <c r="H56" i="40" s="1"/>
  <c r="B56" i="40"/>
  <c r="B56" i="41"/>
  <c r="F56" i="41"/>
  <c r="G56" i="41" s="1"/>
  <c r="I59" i="28"/>
  <c r="I65" i="8"/>
  <c r="I68" i="10"/>
  <c r="B68" i="7"/>
  <c r="I64" i="4"/>
  <c r="I138" i="13"/>
  <c r="H138" i="13"/>
  <c r="B139" i="13"/>
  <c r="F139" i="13"/>
  <c r="H60" i="31" l="1"/>
  <c r="G59" i="30"/>
  <c r="G60" i="29"/>
  <c r="H60" i="28"/>
  <c r="G61" i="27"/>
  <c r="G64" i="25"/>
  <c r="G62" i="24"/>
  <c r="H63" i="23"/>
  <c r="G64" i="22"/>
  <c r="H67" i="11"/>
  <c r="H69" i="10"/>
  <c r="E68" i="9"/>
  <c r="F68" i="9" s="1"/>
  <c r="H68" i="9" s="1"/>
  <c r="G66" i="8"/>
  <c r="G68" i="7"/>
  <c r="G66" i="6"/>
  <c r="H65" i="5"/>
  <c r="H65" i="4"/>
  <c r="H65" i="3"/>
  <c r="H57" i="44"/>
  <c r="D58" i="44"/>
  <c r="G57" i="44"/>
  <c r="D62" i="27"/>
  <c r="H56" i="41"/>
  <c r="I56" i="41" s="1"/>
  <c r="G56" i="40"/>
  <c r="I56" i="40" s="1"/>
  <c r="D58" i="45"/>
  <c r="E58" i="45" s="1"/>
  <c r="D67" i="8"/>
  <c r="D66" i="5"/>
  <c r="D68" i="11"/>
  <c r="D59" i="37"/>
  <c r="E59" i="37" s="1"/>
  <c r="D57" i="42"/>
  <c r="E57" i="42" s="1"/>
  <c r="D61" i="31"/>
  <c r="D57" i="40"/>
  <c r="E57" i="40"/>
  <c r="H57" i="45"/>
  <c r="D65" i="22"/>
  <c r="D61" i="28"/>
  <c r="D58" i="39"/>
  <c r="E58" i="39" s="1"/>
  <c r="D58" i="38"/>
  <c r="E58" i="38" s="1"/>
  <c r="H58" i="37"/>
  <c r="H56" i="42"/>
  <c r="D60" i="30"/>
  <c r="B68" i="9"/>
  <c r="D56" i="43"/>
  <c r="E56" i="43" s="1"/>
  <c r="D69" i="7"/>
  <c r="G57" i="45"/>
  <c r="D67" i="6"/>
  <c r="D70" i="10"/>
  <c r="H57" i="39"/>
  <c r="I57" i="39" s="1"/>
  <c r="H57" i="38"/>
  <c r="I57" i="38" s="1"/>
  <c r="D66" i="3"/>
  <c r="G58" i="37"/>
  <c r="G56" i="42"/>
  <c r="B58" i="13"/>
  <c r="H55" i="43"/>
  <c r="I55" i="43" s="1"/>
  <c r="D57" i="41"/>
  <c r="E57" i="41" s="1"/>
  <c r="D64" i="23"/>
  <c r="D61" i="29"/>
  <c r="E61" i="29" s="1"/>
  <c r="D66" i="4"/>
  <c r="D63" i="24"/>
  <c r="I67" i="9"/>
  <c r="E58" i="13"/>
  <c r="F58" i="13" s="1"/>
  <c r="F57" i="46"/>
  <c r="H57" i="46" s="1"/>
  <c r="B57" i="46"/>
  <c r="D65" i="25"/>
  <c r="G139" i="13"/>
  <c r="D140" i="13"/>
  <c r="E140" i="13" s="1"/>
  <c r="E61" i="31" l="1"/>
  <c r="F61" i="31" s="1"/>
  <c r="H61" i="31" s="1"/>
  <c r="E60" i="30"/>
  <c r="F60" i="30" s="1"/>
  <c r="H60" i="30" s="1"/>
  <c r="E61" i="28"/>
  <c r="B62" i="27"/>
  <c r="E65" i="25"/>
  <c r="F65" i="25" s="1"/>
  <c r="G65" i="25" s="1"/>
  <c r="E63" i="24"/>
  <c r="F63" i="24" s="1"/>
  <c r="H63" i="24" s="1"/>
  <c r="E64" i="23"/>
  <c r="F64" i="23" s="1"/>
  <c r="H64" i="23" s="1"/>
  <c r="E65" i="22"/>
  <c r="F65" i="22" s="1"/>
  <c r="H65" i="22" s="1"/>
  <c r="G68" i="9"/>
  <c r="E67" i="8"/>
  <c r="F67" i="8" s="1"/>
  <c r="G67" i="8" s="1"/>
  <c r="E67" i="6"/>
  <c r="F67" i="6" s="1"/>
  <c r="H67" i="6" s="1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H62" i="27" s="1"/>
  <c r="D59" i="13"/>
  <c r="E59" i="13" s="1"/>
  <c r="G58" i="13"/>
  <c r="H58" i="13"/>
  <c r="B70" i="10"/>
  <c r="F56" i="43"/>
  <c r="B56" i="43"/>
  <c r="I58" i="37"/>
  <c r="F58" i="39"/>
  <c r="G58" i="39" s="1"/>
  <c r="B58" i="39"/>
  <c r="B61" i="28"/>
  <c r="F61" i="28"/>
  <c r="H61" i="28" s="1"/>
  <c r="I60" i="31"/>
  <c r="F59" i="37"/>
  <c r="H59" i="37" s="1"/>
  <c r="B59" i="37"/>
  <c r="D58" i="46"/>
  <c r="B63" i="24"/>
  <c r="B66" i="4"/>
  <c r="B66" i="3"/>
  <c r="B69" i="7"/>
  <c r="D69" i="9"/>
  <c r="I59" i="30"/>
  <c r="I57" i="45"/>
  <c r="B61" i="31"/>
  <c r="B68" i="11"/>
  <c r="B66" i="5"/>
  <c r="B65" i="25"/>
  <c r="I64" i="25"/>
  <c r="G57" i="46"/>
  <c r="I57" i="46" s="1"/>
  <c r="E66" i="4"/>
  <c r="F66" i="4" s="1"/>
  <c r="H66" i="4" s="1"/>
  <c r="I65" i="3"/>
  <c r="I66" i="6"/>
  <c r="I68" i="7"/>
  <c r="B60" i="30"/>
  <c r="B58" i="38"/>
  <c r="F58" i="38"/>
  <c r="H58" i="38" s="1"/>
  <c r="I60" i="28"/>
  <c r="B65" i="22"/>
  <c r="E68" i="11"/>
  <c r="F68" i="11" s="1"/>
  <c r="H68" i="11" s="1"/>
  <c r="E66" i="5"/>
  <c r="F66" i="5" s="1"/>
  <c r="H66" i="5" s="1"/>
  <c r="B61" i="29"/>
  <c r="F61" i="29"/>
  <c r="H61" i="29" s="1"/>
  <c r="B64" i="23"/>
  <c r="B57" i="41"/>
  <c r="F57" i="41"/>
  <c r="E66" i="3"/>
  <c r="F66" i="3" s="1"/>
  <c r="H66" i="3" s="1"/>
  <c r="E70" i="10"/>
  <c r="F70" i="10" s="1"/>
  <c r="H70" i="10" s="1"/>
  <c r="B67" i="6"/>
  <c r="E69" i="7"/>
  <c r="F69" i="7" s="1"/>
  <c r="H69" i="7" s="1"/>
  <c r="I56" i="42"/>
  <c r="F57" i="40"/>
  <c r="G57" i="40" s="1"/>
  <c r="B57" i="40"/>
  <c r="B57" i="42"/>
  <c r="F57" i="42"/>
  <c r="G57" i="42" s="1"/>
  <c r="B67" i="8"/>
  <c r="F58" i="45"/>
  <c r="G58" i="45" s="1"/>
  <c r="B58" i="45"/>
  <c r="H139" i="13"/>
  <c r="I139" i="13"/>
  <c r="F140" i="13"/>
  <c r="B140" i="13"/>
  <c r="G63" i="24" l="1"/>
  <c r="H58" i="45"/>
  <c r="I58" i="45" s="1"/>
  <c r="G61" i="31"/>
  <c r="G60" i="30"/>
  <c r="G61" i="29"/>
  <c r="G61" i="28"/>
  <c r="G62" i="27"/>
  <c r="H65" i="25"/>
  <c r="G64" i="23"/>
  <c r="G65" i="22"/>
  <c r="G68" i="11"/>
  <c r="G70" i="10"/>
  <c r="H67" i="8"/>
  <c r="G69" i="7"/>
  <c r="G67" i="6"/>
  <c r="G66" i="5"/>
  <c r="G66" i="4"/>
  <c r="I66" i="4" s="1"/>
  <c r="G66" i="3"/>
  <c r="H57" i="40"/>
  <c r="I57" i="40" s="1"/>
  <c r="H58" i="44"/>
  <c r="D59" i="44"/>
  <c r="G58" i="44"/>
  <c r="I68" i="9"/>
  <c r="H57" i="42"/>
  <c r="I57" i="42" s="1"/>
  <c r="H58" i="39"/>
  <c r="I58" i="39" s="1"/>
  <c r="G59" i="37"/>
  <c r="I59" i="37" s="1"/>
  <c r="G58" i="38"/>
  <c r="I58" i="38" s="1"/>
  <c r="I58" i="13"/>
  <c r="D63" i="27"/>
  <c r="D67" i="3"/>
  <c r="D67" i="5"/>
  <c r="D67" i="4"/>
  <c r="D70" i="7"/>
  <c r="D69" i="11"/>
  <c r="D71" i="10"/>
  <c r="D58" i="41"/>
  <c r="E58" i="41" s="1"/>
  <c r="D62" i="31"/>
  <c r="B69" i="9"/>
  <c r="B58" i="46"/>
  <c r="D57" i="43"/>
  <c r="E57" i="43" s="1"/>
  <c r="D58" i="40"/>
  <c r="E58" i="40"/>
  <c r="D68" i="6"/>
  <c r="H57" i="41"/>
  <c r="D65" i="23"/>
  <c r="E69" i="9"/>
  <c r="F69" i="9" s="1"/>
  <c r="H69" i="9" s="1"/>
  <c r="E58" i="46"/>
  <c r="F58" i="46" s="1"/>
  <c r="G56" i="43"/>
  <c r="D62" i="29"/>
  <c r="E62" i="29" s="1"/>
  <c r="D59" i="38"/>
  <c r="E59" i="38"/>
  <c r="D64" i="24"/>
  <c r="D68" i="8"/>
  <c r="D59" i="45"/>
  <c r="E59" i="45" s="1"/>
  <c r="D58" i="42"/>
  <c r="E58" i="42"/>
  <c r="G57" i="41"/>
  <c r="D66" i="22"/>
  <c r="D61" i="30"/>
  <c r="D66" i="25"/>
  <c r="D60" i="37"/>
  <c r="E60" i="37" s="1"/>
  <c r="D62" i="28"/>
  <c r="D59" i="39"/>
  <c r="E59" i="39" s="1"/>
  <c r="H56" i="43"/>
  <c r="B59" i="13"/>
  <c r="F59" i="13"/>
  <c r="G59" i="13" s="1"/>
  <c r="D141" i="13"/>
  <c r="G140" i="13"/>
  <c r="E62" i="31" l="1"/>
  <c r="F62" i="31" s="1"/>
  <c r="G62" i="31" s="1"/>
  <c r="E61" i="30"/>
  <c r="F61" i="30" s="1"/>
  <c r="H61" i="30" s="1"/>
  <c r="E62" i="28"/>
  <c r="F62" i="28" s="1"/>
  <c r="H62" i="28" s="1"/>
  <c r="B63" i="27"/>
  <c r="E64" i="24"/>
  <c r="F64" i="24" s="1"/>
  <c r="H64" i="24" s="1"/>
  <c r="E65" i="23"/>
  <c r="F65" i="23" s="1"/>
  <c r="G65" i="23" s="1"/>
  <c r="E66" i="22"/>
  <c r="F66" i="22" s="1"/>
  <c r="H66" i="22" s="1"/>
  <c r="E69" i="11"/>
  <c r="F69" i="11" s="1"/>
  <c r="H69" i="11" s="1"/>
  <c r="E71" i="10"/>
  <c r="F71" i="10" s="1"/>
  <c r="G69" i="9"/>
  <c r="E70" i="7"/>
  <c r="F70" i="7" s="1"/>
  <c r="H70" i="7" s="1"/>
  <c r="E67" i="5"/>
  <c r="F67" i="5" s="1"/>
  <c r="H67" i="5" s="1"/>
  <c r="E67" i="4"/>
  <c r="F67" i="4" s="1"/>
  <c r="G67" i="4" s="1"/>
  <c r="E67" i="3"/>
  <c r="F67" i="3" s="1"/>
  <c r="H67" i="3" s="1"/>
  <c r="E59" i="44"/>
  <c r="F59" i="44" s="1"/>
  <c r="B59" i="44"/>
  <c r="I58" i="44"/>
  <c r="I56" i="43"/>
  <c r="H59" i="13"/>
  <c r="I59" i="13" s="1"/>
  <c r="I61" i="29"/>
  <c r="I62" i="27"/>
  <c r="I65" i="25"/>
  <c r="E63" i="27"/>
  <c r="F63" i="27" s="1"/>
  <c r="H63" i="27" s="1"/>
  <c r="I61" i="28"/>
  <c r="D59" i="46"/>
  <c r="E59" i="46" s="1"/>
  <c r="H58" i="46"/>
  <c r="G58" i="46"/>
  <c r="D70" i="9"/>
  <c r="B60" i="37"/>
  <c r="F60" i="37"/>
  <c r="G60" i="37" s="1"/>
  <c r="B66" i="25"/>
  <c r="B61" i="30"/>
  <c r="I65" i="22"/>
  <c r="B68" i="8"/>
  <c r="F59" i="38"/>
  <c r="H59" i="38" s="1"/>
  <c r="B59" i="38"/>
  <c r="B65" i="23"/>
  <c r="B68" i="6"/>
  <c r="I61" i="31"/>
  <c r="I70" i="10"/>
  <c r="E66" i="25"/>
  <c r="F66" i="25" s="1"/>
  <c r="H66" i="25" s="1"/>
  <c r="F59" i="45"/>
  <c r="H59" i="45" s="1"/>
  <c r="B59" i="45"/>
  <c r="I63" i="24"/>
  <c r="I57" i="41"/>
  <c r="I67" i="6"/>
  <c r="B62" i="31"/>
  <c r="B69" i="11"/>
  <c r="B70" i="7"/>
  <c r="D60" i="13"/>
  <c r="E60" i="13" s="1"/>
  <c r="B59" i="39"/>
  <c r="F59" i="39"/>
  <c r="H59" i="39" s="1"/>
  <c r="B62" i="28"/>
  <c r="I60" i="30"/>
  <c r="B66" i="22"/>
  <c r="I67" i="8"/>
  <c r="B64" i="24"/>
  <c r="B62" i="29"/>
  <c r="F62" i="29"/>
  <c r="H62" i="29" s="1"/>
  <c r="I64" i="23"/>
  <c r="E68" i="6"/>
  <c r="F68" i="6" s="1"/>
  <c r="H68" i="6" s="1"/>
  <c r="I68" i="11"/>
  <c r="I69" i="7"/>
  <c r="B67" i="5"/>
  <c r="I66" i="3"/>
  <c r="F58" i="42"/>
  <c r="H58" i="42" s="1"/>
  <c r="B58" i="42"/>
  <c r="E68" i="8"/>
  <c r="F68" i="8" s="1"/>
  <c r="H68" i="8" s="1"/>
  <c r="F58" i="40"/>
  <c r="H58" i="40" s="1"/>
  <c r="B58" i="40"/>
  <c r="B57" i="43"/>
  <c r="F57" i="43"/>
  <c r="G57" i="43" s="1"/>
  <c r="F58" i="41"/>
  <c r="G58" i="41" s="1"/>
  <c r="B58" i="41"/>
  <c r="B71" i="10"/>
  <c r="B67" i="4"/>
  <c r="B67" i="3"/>
  <c r="B141" i="13"/>
  <c r="H140" i="13"/>
  <c r="I140" i="13"/>
  <c r="E141" i="13"/>
  <c r="F141" i="13" s="1"/>
  <c r="H62" i="31" l="1"/>
  <c r="G61" i="30"/>
  <c r="G62" i="29"/>
  <c r="G62" i="28"/>
  <c r="G63" i="27"/>
  <c r="G66" i="25"/>
  <c r="G64" i="24"/>
  <c r="H65" i="23"/>
  <c r="G66" i="22"/>
  <c r="G69" i="11"/>
  <c r="H71" i="10"/>
  <c r="G71" i="10"/>
  <c r="E70" i="9"/>
  <c r="F70" i="9" s="1"/>
  <c r="H70" i="9" s="1"/>
  <c r="G68" i="8"/>
  <c r="G70" i="7"/>
  <c r="G68" i="6"/>
  <c r="G67" i="5"/>
  <c r="H67" i="4"/>
  <c r="G67" i="3"/>
  <c r="G59" i="39"/>
  <c r="I59" i="39" s="1"/>
  <c r="G59" i="44"/>
  <c r="H59" i="44"/>
  <c r="D60" i="44"/>
  <c r="G58" i="42"/>
  <c r="I58" i="42" s="1"/>
  <c r="G59" i="38"/>
  <c r="I59" i="38" s="1"/>
  <c r="H57" i="43"/>
  <c r="I57" i="43" s="1"/>
  <c r="I58" i="46"/>
  <c r="D64" i="27"/>
  <c r="D69" i="6"/>
  <c r="D67" i="25"/>
  <c r="D69" i="8"/>
  <c r="D63" i="29"/>
  <c r="D63" i="28"/>
  <c r="D63" i="31"/>
  <c r="D60" i="45"/>
  <c r="E60" i="45" s="1"/>
  <c r="D61" i="37"/>
  <c r="E61" i="37" s="1"/>
  <c r="D68" i="4"/>
  <c r="H58" i="41"/>
  <c r="I58" i="41" s="1"/>
  <c r="D58" i="43"/>
  <c r="E58" i="43" s="1"/>
  <c r="D59" i="40"/>
  <c r="E59" i="40" s="1"/>
  <c r="D71" i="7"/>
  <c r="D62" i="30"/>
  <c r="D68" i="3"/>
  <c r="D72" i="10"/>
  <c r="G58" i="40"/>
  <c r="I58" i="40" s="1"/>
  <c r="D59" i="42"/>
  <c r="E59" i="42" s="1"/>
  <c r="D65" i="24"/>
  <c r="D67" i="22"/>
  <c r="D60" i="39"/>
  <c r="E60" i="39" s="1"/>
  <c r="D60" i="38"/>
  <c r="E60" i="38" s="1"/>
  <c r="H60" i="37"/>
  <c r="I60" i="37" s="1"/>
  <c r="B70" i="9"/>
  <c r="D59" i="41"/>
  <c r="E59" i="41" s="1"/>
  <c r="D68" i="5"/>
  <c r="B60" i="13"/>
  <c r="F60" i="13"/>
  <c r="H60" i="13" s="1"/>
  <c r="D70" i="11"/>
  <c r="G59" i="45"/>
  <c r="I59" i="45" s="1"/>
  <c r="D66" i="23"/>
  <c r="I69" i="9"/>
  <c r="B59" i="46"/>
  <c r="F59" i="46"/>
  <c r="H59" i="46" s="1"/>
  <c r="G141" i="13"/>
  <c r="D142" i="13"/>
  <c r="E142" i="13" s="1"/>
  <c r="I59" i="44" l="1"/>
  <c r="E62" i="30"/>
  <c r="F62" i="30" s="1"/>
  <c r="H62" i="30" s="1"/>
  <c r="E63" i="29"/>
  <c r="F63" i="29" s="1"/>
  <c r="H63" i="29" s="1"/>
  <c r="E64" i="27"/>
  <c r="F64" i="27" s="1"/>
  <c r="G64" i="27" s="1"/>
  <c r="E67" i="25"/>
  <c r="F67" i="25" s="1"/>
  <c r="G67" i="25" s="1"/>
  <c r="E65" i="24"/>
  <c r="E66" i="23"/>
  <c r="F66" i="23" s="1"/>
  <c r="H66" i="23" s="1"/>
  <c r="E67" i="22"/>
  <c r="F67" i="22" s="1"/>
  <c r="H67" i="22" s="1"/>
  <c r="E70" i="11"/>
  <c r="F70" i="11" s="1"/>
  <c r="H70" i="11" s="1"/>
  <c r="E72" i="10"/>
  <c r="E73" i="10" s="1"/>
  <c r="G70" i="9"/>
  <c r="E69" i="8"/>
  <c r="F69" i="8" s="1"/>
  <c r="H69" i="8" s="1"/>
  <c r="E71" i="7"/>
  <c r="F71" i="7" s="1"/>
  <c r="H71" i="7" s="1"/>
  <c r="E69" i="6"/>
  <c r="F69" i="6" s="1"/>
  <c r="G69" i="6" s="1"/>
  <c r="E68" i="5"/>
  <c r="F68" i="5" s="1"/>
  <c r="H68" i="5" s="1"/>
  <c r="E68" i="4"/>
  <c r="F68" i="4" s="1"/>
  <c r="G68" i="4" s="1"/>
  <c r="E68" i="3"/>
  <c r="F68" i="3" s="1"/>
  <c r="H68" i="3" s="1"/>
  <c r="E60" i="44"/>
  <c r="F60" i="44" s="1"/>
  <c r="B60" i="44"/>
  <c r="I64" i="24"/>
  <c r="I67" i="3"/>
  <c r="I66" i="22"/>
  <c r="I70" i="7"/>
  <c r="I71" i="10"/>
  <c r="G59" i="46"/>
  <c r="I59" i="46" s="1"/>
  <c r="I61" i="30"/>
  <c r="B64" i="27"/>
  <c r="I62" i="29"/>
  <c r="I68" i="8"/>
  <c r="I63" i="27"/>
  <c r="D61" i="13"/>
  <c r="E61" i="13" s="1"/>
  <c r="D71" i="9"/>
  <c r="F60" i="38"/>
  <c r="G60" i="38" s="1"/>
  <c r="B60" i="38"/>
  <c r="F60" i="39"/>
  <c r="G60" i="39" s="1"/>
  <c r="B60" i="39"/>
  <c r="B72" i="10"/>
  <c r="B71" i="7"/>
  <c r="B58" i="43"/>
  <c r="F58" i="43"/>
  <c r="H58" i="43" s="1"/>
  <c r="I67" i="4"/>
  <c r="I62" i="28"/>
  <c r="B63" i="29"/>
  <c r="I65" i="23"/>
  <c r="B70" i="11"/>
  <c r="B63" i="31"/>
  <c r="B67" i="25"/>
  <c r="B69" i="6"/>
  <c r="B67" i="22"/>
  <c r="F59" i="42"/>
  <c r="H59" i="42" s="1"/>
  <c r="B59" i="42"/>
  <c r="B68" i="3"/>
  <c r="B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B66" i="23"/>
  <c r="I69" i="11"/>
  <c r="G60" i="13"/>
  <c r="I60" i="13" s="1"/>
  <c r="B68" i="5"/>
  <c r="F59" i="41"/>
  <c r="H59" i="41" s="1"/>
  <c r="B59" i="41"/>
  <c r="B65" i="24"/>
  <c r="F65" i="24"/>
  <c r="G65" i="24" s="1"/>
  <c r="B68" i="4"/>
  <c r="E63" i="31"/>
  <c r="F63" i="31" s="1"/>
  <c r="H63" i="31" s="1"/>
  <c r="E63" i="28"/>
  <c r="F63" i="28" s="1"/>
  <c r="H63" i="28" s="1"/>
  <c r="B69" i="8"/>
  <c r="I66" i="25"/>
  <c r="I68" i="6"/>
  <c r="I141" i="13"/>
  <c r="H141" i="13"/>
  <c r="B142" i="13"/>
  <c r="F142" i="13"/>
  <c r="F72" i="10" l="1"/>
  <c r="H72" i="10" s="1"/>
  <c r="G69" i="8"/>
  <c r="G63" i="31"/>
  <c r="G62" i="30"/>
  <c r="G63" i="29"/>
  <c r="G63" i="28"/>
  <c r="H64" i="27"/>
  <c r="H67" i="25"/>
  <c r="H65" i="24"/>
  <c r="G66" i="23"/>
  <c r="G67" i="22"/>
  <c r="G70" i="11"/>
  <c r="E71" i="9"/>
  <c r="F71" i="9" s="1"/>
  <c r="G71" i="9" s="1"/>
  <c r="G71" i="7"/>
  <c r="H69" i="6"/>
  <c r="G68" i="5"/>
  <c r="H68" i="4"/>
  <c r="G68" i="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D64" i="28"/>
  <c r="D64" i="31"/>
  <c r="D70" i="8"/>
  <c r="D69" i="5"/>
  <c r="D67" i="23"/>
  <c r="D61" i="45"/>
  <c r="E61" i="45" s="1"/>
  <c r="H61" i="37"/>
  <c r="I61" i="37" s="1"/>
  <c r="D70" i="6"/>
  <c r="D71" i="11"/>
  <c r="H60" i="38"/>
  <c r="I60" i="38" s="1"/>
  <c r="D66" i="24"/>
  <c r="H60" i="45"/>
  <c r="D60" i="40"/>
  <c r="E60" i="40" s="1"/>
  <c r="D69" i="3"/>
  <c r="D60" i="42"/>
  <c r="E60" i="42" s="1"/>
  <c r="D61" i="39"/>
  <c r="E61" i="39" s="1"/>
  <c r="D60" i="41"/>
  <c r="E60" i="41" s="1"/>
  <c r="F60" i="46"/>
  <c r="G60" i="46" s="1"/>
  <c r="B60" i="46"/>
  <c r="D63" i="30"/>
  <c r="D59" i="43"/>
  <c r="E59" i="43" s="1"/>
  <c r="D72" i="7"/>
  <c r="D69" i="4"/>
  <c r="G60" i="45"/>
  <c r="D62" i="37"/>
  <c r="E62" i="37" s="1"/>
  <c r="D68" i="22"/>
  <c r="D68" i="25"/>
  <c r="D64" i="29"/>
  <c r="D61" i="38"/>
  <c r="E61" i="38" s="1"/>
  <c r="B71" i="9"/>
  <c r="F61" i="13"/>
  <c r="H61" i="13" s="1"/>
  <c r="B61" i="13"/>
  <c r="D143" i="13"/>
  <c r="E143" i="13" s="1"/>
  <c r="G142" i="13"/>
  <c r="G72" i="10" l="1"/>
  <c r="G73" i="10" s="1"/>
  <c r="I60" i="44"/>
  <c r="E63" i="30"/>
  <c r="F63" i="30" s="1"/>
  <c r="H63" i="30" s="1"/>
  <c r="E64" i="29"/>
  <c r="F64" i="29" s="1"/>
  <c r="H64" i="29" s="1"/>
  <c r="E64" i="28"/>
  <c r="F64" i="28" s="1"/>
  <c r="G64" i="28" s="1"/>
  <c r="E68" i="25"/>
  <c r="F68" i="25" s="1"/>
  <c r="H68" i="25" s="1"/>
  <c r="E66" i="24"/>
  <c r="F66" i="24" s="1"/>
  <c r="H66" i="24" s="1"/>
  <c r="E68" i="22"/>
  <c r="F68" i="22" s="1"/>
  <c r="H68" i="22" s="1"/>
  <c r="H71" i="9"/>
  <c r="E70" i="8"/>
  <c r="F70" i="8" s="1"/>
  <c r="H70" i="8" s="1"/>
  <c r="I67" i="25"/>
  <c r="E61" i="44"/>
  <c r="F61" i="44" s="1"/>
  <c r="B61" i="44"/>
  <c r="H60" i="46"/>
  <c r="I60" i="46" s="1"/>
  <c r="I63" i="28"/>
  <c r="G61" i="13"/>
  <c r="I61" i="13" s="1"/>
  <c r="I68" i="4"/>
  <c r="I71" i="7"/>
  <c r="I68" i="3"/>
  <c r="B65" i="27"/>
  <c r="I63" i="29"/>
  <c r="I69" i="6"/>
  <c r="I64" i="27"/>
  <c r="I65" i="24"/>
  <c r="I70" i="11"/>
  <c r="E65" i="27"/>
  <c r="F65" i="27" s="1"/>
  <c r="H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B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H73" i="10"/>
  <c r="E69" i="3"/>
  <c r="F69" i="3" s="1"/>
  <c r="H69" i="3" s="1"/>
  <c r="E71" i="11"/>
  <c r="F71" i="11" s="1"/>
  <c r="H71" i="11" s="1"/>
  <c r="E70" i="6"/>
  <c r="F70" i="6" s="1"/>
  <c r="H70" i="6" s="1"/>
  <c r="F61" i="45"/>
  <c r="H61" i="45" s="1"/>
  <c r="B61" i="45"/>
  <c r="B67" i="23"/>
  <c r="B69" i="5"/>
  <c r="B70" i="8"/>
  <c r="I63" i="31"/>
  <c r="D62" i="13"/>
  <c r="E62" i="13" s="1"/>
  <c r="B61" i="38"/>
  <c r="F61" i="38"/>
  <c r="G61" i="38" s="1"/>
  <c r="B68" i="25"/>
  <c r="B68" i="22"/>
  <c r="E69" i="4"/>
  <c r="F69" i="4" s="1"/>
  <c r="G69" i="4" s="1"/>
  <c r="E72" i="7"/>
  <c r="E73" i="7" s="1"/>
  <c r="B63" i="30"/>
  <c r="D61" i="46"/>
  <c r="B60" i="40"/>
  <c r="F60" i="40"/>
  <c r="H60" i="40" s="1"/>
  <c r="B66" i="24"/>
  <c r="E67" i="23"/>
  <c r="F67" i="23" s="1"/>
  <c r="G67" i="23" s="1"/>
  <c r="E69" i="5"/>
  <c r="F69" i="5" s="1"/>
  <c r="H69" i="5" s="1"/>
  <c r="E64" i="31"/>
  <c r="F64" i="31" s="1"/>
  <c r="G64" i="31" s="1"/>
  <c r="B64" i="28"/>
  <c r="I142" i="13"/>
  <c r="H142" i="13"/>
  <c r="B143" i="13"/>
  <c r="F143" i="13"/>
  <c r="I72" i="10" l="1"/>
  <c r="I73" i="10" s="1"/>
  <c r="H64" i="31"/>
  <c r="G63" i="30"/>
  <c r="G64" i="29"/>
  <c r="H64" i="28"/>
  <c r="G65" i="27"/>
  <c r="G68" i="25"/>
  <c r="G66" i="24"/>
  <c r="H67" i="23"/>
  <c r="G68" i="22"/>
  <c r="G71" i="11"/>
  <c r="G70" i="8"/>
  <c r="G70" i="6"/>
  <c r="G69" i="5"/>
  <c r="H69" i="4"/>
  <c r="G69" i="3"/>
  <c r="H61" i="44"/>
  <c r="D62" i="44"/>
  <c r="G61" i="44"/>
  <c r="I71" i="9"/>
  <c r="G61" i="45"/>
  <c r="I61" i="45" s="1"/>
  <c r="G60" i="41"/>
  <c r="I60" i="41" s="1"/>
  <c r="H59" i="43"/>
  <c r="I59" i="43" s="1"/>
  <c r="D66" i="27"/>
  <c r="H60" i="42"/>
  <c r="I60" i="42" s="1"/>
  <c r="D72" i="11"/>
  <c r="D70" i="5"/>
  <c r="D70" i="3"/>
  <c r="D70" i="4"/>
  <c r="D68" i="23"/>
  <c r="D65" i="31"/>
  <c r="D71" i="6"/>
  <c r="D67" i="24"/>
  <c r="D64" i="30"/>
  <c r="D69" i="22"/>
  <c r="B72" i="9"/>
  <c r="D62" i="39"/>
  <c r="E62" i="39" s="1"/>
  <c r="G60" i="40"/>
  <c r="I60" i="40" s="1"/>
  <c r="B61" i="46"/>
  <c r="D69" i="25"/>
  <c r="H61" i="38"/>
  <c r="I61" i="38" s="1"/>
  <c r="D63" i="37"/>
  <c r="D65" i="28"/>
  <c r="E61" i="46"/>
  <c r="F61" i="46" s="1"/>
  <c r="D71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F62" i="13"/>
  <c r="G62" i="13" s="1"/>
  <c r="B62" i="13"/>
  <c r="D61" i="42"/>
  <c r="E61" i="42" s="1"/>
  <c r="H62" i="37"/>
  <c r="I62" i="37" s="1"/>
  <c r="D65" i="29"/>
  <c r="E72" i="9"/>
  <c r="E73" i="9" s="1"/>
  <c r="H61" i="39"/>
  <c r="D144" i="13"/>
  <c r="G143" i="13"/>
  <c r="I61" i="44" l="1"/>
  <c r="E65" i="29"/>
  <c r="F65" i="29" s="1"/>
  <c r="G65" i="29" s="1"/>
  <c r="E69" i="25"/>
  <c r="F69" i="25" s="1"/>
  <c r="H69" i="25" s="1"/>
  <c r="E72" i="11"/>
  <c r="E73" i="11" s="1"/>
  <c r="H72" i="7"/>
  <c r="G72" i="7"/>
  <c r="G73" i="7" s="1"/>
  <c r="E70" i="5"/>
  <c r="F70" i="5" s="1"/>
  <c r="H70" i="5" s="1"/>
  <c r="E70" i="4"/>
  <c r="F70" i="4" s="1"/>
  <c r="H70" i="4" s="1"/>
  <c r="E70" i="3"/>
  <c r="F70" i="3" s="1"/>
  <c r="H70" i="3" s="1"/>
  <c r="E62" i="44"/>
  <c r="F62" i="44" s="1"/>
  <c r="B62" i="44"/>
  <c r="I66" i="24"/>
  <c r="I67" i="23"/>
  <c r="I65" i="27"/>
  <c r="I70" i="6"/>
  <c r="I63" i="30"/>
  <c r="E66" i="27"/>
  <c r="F66" i="27" s="1"/>
  <c r="H66" i="27" s="1"/>
  <c r="B66" i="27"/>
  <c r="I64" i="31"/>
  <c r="I69" i="4"/>
  <c r="I69" i="3"/>
  <c r="D62" i="46"/>
  <c r="E62" i="46" s="1"/>
  <c r="G61" i="46"/>
  <c r="H61" i="46"/>
  <c r="D63" i="13"/>
  <c r="E63" i="13" s="1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B72" i="11"/>
  <c r="B62" i="38"/>
  <c r="F62" i="38"/>
  <c r="G62" i="38" s="1"/>
  <c r="E62" i="45"/>
  <c r="F62" i="45" s="1"/>
  <c r="B71" i="8"/>
  <c r="E65" i="28"/>
  <c r="F65" i="28" s="1"/>
  <c r="H65" i="28" s="1"/>
  <c r="B63" i="37"/>
  <c r="B69" i="22"/>
  <c r="B70" i="4"/>
  <c r="B70" i="5"/>
  <c r="B65" i="29"/>
  <c r="I61" i="39"/>
  <c r="I64" i="29"/>
  <c r="B61" i="42"/>
  <c r="F61" i="42"/>
  <c r="H61" i="42" s="1"/>
  <c r="H62" i="13"/>
  <c r="I62" i="13" s="1"/>
  <c r="E71" i="8"/>
  <c r="F71" i="8" s="1"/>
  <c r="G71" i="8" s="1"/>
  <c r="I64" i="28"/>
  <c r="E63" i="37"/>
  <c r="F63" i="37" s="1"/>
  <c r="B69" i="25"/>
  <c r="F62" i="39"/>
  <c r="G62" i="39" s="1"/>
  <c r="B62" i="39"/>
  <c r="E69" i="22"/>
  <c r="F69" i="22" s="1"/>
  <c r="H69" i="22" s="1"/>
  <c r="E64" i="30"/>
  <c r="F64" i="30" s="1"/>
  <c r="H64" i="30" s="1"/>
  <c r="E67" i="24"/>
  <c r="F67" i="24" s="1"/>
  <c r="G67" i="24" s="1"/>
  <c r="E71" i="6"/>
  <c r="F71" i="6" s="1"/>
  <c r="H71" i="6" s="1"/>
  <c r="E65" i="31"/>
  <c r="F65" i="31" s="1"/>
  <c r="H65" i="31" s="1"/>
  <c r="E68" i="23"/>
  <c r="F68" i="23" s="1"/>
  <c r="H68" i="23" s="1"/>
  <c r="I71" i="11"/>
  <c r="H143" i="13"/>
  <c r="I143" i="13"/>
  <c r="B144" i="13"/>
  <c r="E144" i="13"/>
  <c r="F144" i="13" s="1"/>
  <c r="F72" i="11" l="1"/>
  <c r="H72" i="11" s="1"/>
  <c r="G65" i="31"/>
  <c r="G64" i="30"/>
  <c r="H65" i="29"/>
  <c r="G65" i="28"/>
  <c r="G66" i="27"/>
  <c r="G69" i="25"/>
  <c r="I69" i="25" s="1"/>
  <c r="H67" i="24"/>
  <c r="G68" i="23"/>
  <c r="I68" i="23" s="1"/>
  <c r="G69" i="22"/>
  <c r="H72" i="9"/>
  <c r="G72" i="9"/>
  <c r="G73" i="9" s="1"/>
  <c r="H71" i="8"/>
  <c r="G71" i="6"/>
  <c r="G70" i="5"/>
  <c r="G70" i="4"/>
  <c r="G70" i="3"/>
  <c r="G62" i="44"/>
  <c r="H62" i="44"/>
  <c r="D63" i="44"/>
  <c r="I61" i="46"/>
  <c r="H62" i="39"/>
  <c r="I62" i="39" s="1"/>
  <c r="H61" i="40"/>
  <c r="I61" i="40" s="1"/>
  <c r="G61" i="42"/>
  <c r="I61" i="42" s="1"/>
  <c r="D67" i="27"/>
  <c r="D70" i="22"/>
  <c r="D66" i="28"/>
  <c r="D72" i="6"/>
  <c r="D66" i="31"/>
  <c r="D68" i="24"/>
  <c r="D69" i="23"/>
  <c r="D65" i="30"/>
  <c r="D64" i="37"/>
  <c r="H63" i="37"/>
  <c r="G63" i="37"/>
  <c r="D63" i="45"/>
  <c r="E63" i="45" s="1"/>
  <c r="G62" i="45"/>
  <c r="H62" i="45"/>
  <c r="D70" i="25"/>
  <c r="D63" i="38"/>
  <c r="E63" i="38" s="1"/>
  <c r="D71" i="3"/>
  <c r="D61" i="43"/>
  <c r="E61" i="43" s="1"/>
  <c r="I72" i="7"/>
  <c r="I73" i="7" s="1"/>
  <c r="H73" i="7"/>
  <c r="D71" i="5"/>
  <c r="D62" i="41"/>
  <c r="E62" i="41" s="1"/>
  <c r="D63" i="39"/>
  <c r="E63" i="39" s="1"/>
  <c r="D62" i="42"/>
  <c r="E62" i="42" s="1"/>
  <c r="H62" i="38"/>
  <c r="I62" i="38" s="1"/>
  <c r="G60" i="43"/>
  <c r="I60" i="43" s="1"/>
  <c r="G61" i="41"/>
  <c r="I61" i="41" s="1"/>
  <c r="D62" i="40"/>
  <c r="E62" i="40" s="1"/>
  <c r="D66" i="29"/>
  <c r="D71" i="4"/>
  <c r="D72" i="8"/>
  <c r="B63" i="13"/>
  <c r="F63" i="13"/>
  <c r="G63" i="13" s="1"/>
  <c r="F62" i="46"/>
  <c r="H62" i="46" s="1"/>
  <c r="B62" i="46"/>
  <c r="G144" i="13"/>
  <c r="D145" i="13"/>
  <c r="E145" i="13" s="1"/>
  <c r="G72" i="11" l="1"/>
  <c r="G73" i="11" s="1"/>
  <c r="I62" i="44"/>
  <c r="E66" i="31"/>
  <c r="F66" i="31" s="1"/>
  <c r="H66" i="31" s="1"/>
  <c r="E65" i="30"/>
  <c r="F65" i="30" s="1"/>
  <c r="H65" i="30" s="1"/>
  <c r="E66" i="29"/>
  <c r="F66" i="29" s="1"/>
  <c r="H66" i="29" s="1"/>
  <c r="E66" i="28"/>
  <c r="F66" i="28" s="1"/>
  <c r="G66" i="28" s="1"/>
  <c r="E70" i="25"/>
  <c r="F70" i="25" s="1"/>
  <c r="H70" i="25" s="1"/>
  <c r="E68" i="24"/>
  <c r="F68" i="24" s="1"/>
  <c r="H68" i="24" s="1"/>
  <c r="E69" i="23"/>
  <c r="F69" i="23" s="1"/>
  <c r="G69" i="23" s="1"/>
  <c r="E70" i="22"/>
  <c r="F70" i="22" s="1"/>
  <c r="H70" i="22" s="1"/>
  <c r="E72" i="8"/>
  <c r="E73" i="8" s="1"/>
  <c r="E72" i="6"/>
  <c r="E73" i="6" s="1"/>
  <c r="E71" i="5"/>
  <c r="F71" i="5" s="1"/>
  <c r="H71" i="5" s="1"/>
  <c r="E71" i="4"/>
  <c r="F71" i="4" s="1"/>
  <c r="G71" i="4" s="1"/>
  <c r="I70" i="4"/>
  <c r="E63" i="44"/>
  <c r="F63" i="44" s="1"/>
  <c r="B63" i="44"/>
  <c r="I66" i="27"/>
  <c r="G62" i="46"/>
  <c r="I62" i="46" s="1"/>
  <c r="I63" i="37"/>
  <c r="H63" i="13"/>
  <c r="I63" i="13" s="1"/>
  <c r="B67" i="27"/>
  <c r="I71" i="8"/>
  <c r="E67" i="27"/>
  <c r="F67" i="27" s="1"/>
  <c r="H67" i="27" s="1"/>
  <c r="I65" i="31"/>
  <c r="D64" i="13"/>
  <c r="E64" i="13" s="1"/>
  <c r="I65" i="29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B68" i="24"/>
  <c r="B66" i="31"/>
  <c r="B72" i="6"/>
  <c r="B66" i="28"/>
  <c r="B70" i="22"/>
  <c r="I72" i="9"/>
  <c r="I73" i="9" s="1"/>
  <c r="H73" i="9"/>
  <c r="D63" i="46"/>
  <c r="E63" i="46" s="1"/>
  <c r="B71" i="5"/>
  <c r="E71" i="3"/>
  <c r="F71" i="3" s="1"/>
  <c r="H71" i="3" s="1"/>
  <c r="B64" i="37"/>
  <c r="B65" i="30"/>
  <c r="I67" i="24"/>
  <c r="B72" i="8"/>
  <c r="B71" i="4"/>
  <c r="B66" i="29"/>
  <c r="F62" i="40"/>
  <c r="H62" i="40" s="1"/>
  <c r="B62" i="40"/>
  <c r="B62" i="42"/>
  <c r="F62" i="42"/>
  <c r="H62" i="42" s="1"/>
  <c r="B63" i="38"/>
  <c r="F63" i="38"/>
  <c r="G63" i="38" s="1"/>
  <c r="B70" i="25"/>
  <c r="F63" i="45"/>
  <c r="H63" i="45" s="1"/>
  <c r="B63" i="45"/>
  <c r="E64" i="37"/>
  <c r="F64" i="37" s="1"/>
  <c r="H64" i="37" s="1"/>
  <c r="I64" i="30"/>
  <c r="B69" i="23"/>
  <c r="I71" i="6"/>
  <c r="I65" i="28"/>
  <c r="I69" i="22"/>
  <c r="F145" i="13"/>
  <c r="B145" i="13"/>
  <c r="H144" i="13"/>
  <c r="I144" i="13"/>
  <c r="I72" i="11" l="1"/>
  <c r="I73" i="11" s="1"/>
  <c r="F72" i="6"/>
  <c r="H72" i="6" s="1"/>
  <c r="F72" i="8"/>
  <c r="H72" i="8" s="1"/>
  <c r="G70" i="22"/>
  <c r="G66" i="31"/>
  <c r="G65" i="30"/>
  <c r="G66" i="29"/>
  <c r="H66" i="28"/>
  <c r="G67" i="27"/>
  <c r="G70" i="25"/>
  <c r="G68" i="24"/>
  <c r="H69" i="23"/>
  <c r="G71" i="5"/>
  <c r="H71" i="4"/>
  <c r="G71" i="3"/>
  <c r="D64" i="44"/>
  <c r="G63" i="44"/>
  <c r="H63" i="44"/>
  <c r="H63" i="38"/>
  <c r="I63" i="38" s="1"/>
  <c r="G63" i="45"/>
  <c r="I63" i="45" s="1"/>
  <c r="D68" i="27"/>
  <c r="H61" i="43"/>
  <c r="I61" i="43" s="1"/>
  <c r="D72" i="3"/>
  <c r="D70" i="23"/>
  <c r="D72" i="4"/>
  <c r="D72" i="5"/>
  <c r="G62" i="41"/>
  <c r="I62" i="41" s="1"/>
  <c r="D71" i="25"/>
  <c r="D63" i="40"/>
  <c r="E63" i="40" s="1"/>
  <c r="D65" i="37"/>
  <c r="E65" i="37" s="1"/>
  <c r="D67" i="28"/>
  <c r="D67" i="31"/>
  <c r="D62" i="43"/>
  <c r="E62" i="43" s="1"/>
  <c r="F64" i="13"/>
  <c r="H64" i="13" s="1"/>
  <c r="B64" i="13"/>
  <c r="D63" i="42"/>
  <c r="D66" i="30"/>
  <c r="D71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D67" i="29"/>
  <c r="G64" i="37"/>
  <c r="I64" i="37" s="1"/>
  <c r="B63" i="46"/>
  <c r="F63" i="46"/>
  <c r="G63" i="46" s="1"/>
  <c r="D69" i="24"/>
  <c r="G63" i="39"/>
  <c r="I63" i="39" s="1"/>
  <c r="G145" i="13"/>
  <c r="D146" i="13"/>
  <c r="E146" i="13" s="1"/>
  <c r="G72" i="6" l="1"/>
  <c r="G73" i="6" s="1"/>
  <c r="G72" i="8"/>
  <c r="G73" i="8" s="1"/>
  <c r="B68" i="27"/>
  <c r="E69" i="24"/>
  <c r="F69" i="24" s="1"/>
  <c r="G69" i="24" s="1"/>
  <c r="E70" i="23"/>
  <c r="F70" i="23" s="1"/>
  <c r="H70" i="23" s="1"/>
  <c r="E72" i="5"/>
  <c r="E73" i="5" s="1"/>
  <c r="E72" i="4"/>
  <c r="E73" i="4" s="1"/>
  <c r="E72" i="3"/>
  <c r="E73" i="3" s="1"/>
  <c r="I63" i="44"/>
  <c r="E64" i="44"/>
  <c r="F64" i="44" s="1"/>
  <c r="B64" i="44"/>
  <c r="I66" i="28"/>
  <c r="I65" i="30"/>
  <c r="I66" i="29"/>
  <c r="I70" i="22"/>
  <c r="E68" i="27"/>
  <c r="F68" i="27" s="1"/>
  <c r="H68" i="27" s="1"/>
  <c r="I68" i="24"/>
  <c r="H63" i="46"/>
  <c r="I63" i="46" s="1"/>
  <c r="I67" i="27"/>
  <c r="H73" i="8"/>
  <c r="B64" i="39"/>
  <c r="B67" i="29"/>
  <c r="E64" i="39"/>
  <c r="F64" i="39" s="1"/>
  <c r="B66" i="30"/>
  <c r="B63" i="42"/>
  <c r="I66" i="31"/>
  <c r="I70" i="25"/>
  <c r="I71" i="3"/>
  <c r="H73" i="6"/>
  <c r="B71" i="22"/>
  <c r="B67" i="31"/>
  <c r="B69" i="24"/>
  <c r="E67" i="29"/>
  <c r="F67" i="29" s="1"/>
  <c r="H67" i="29" s="1"/>
  <c r="D65" i="13"/>
  <c r="E65" i="13" s="1"/>
  <c r="B62" i="43"/>
  <c r="F62" i="43"/>
  <c r="G62" i="43" s="1"/>
  <c r="B63" i="40"/>
  <c r="F63" i="40"/>
  <c r="H63" i="40" s="1"/>
  <c r="B71" i="25"/>
  <c r="B72" i="4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H71" i="22" s="1"/>
  <c r="E66" i="30"/>
  <c r="F66" i="30" s="1"/>
  <c r="H66" i="30" s="1"/>
  <c r="E63" i="42"/>
  <c r="F63" i="42" s="1"/>
  <c r="G64" i="13"/>
  <c r="I64" i="13" s="1"/>
  <c r="E67" i="31"/>
  <c r="F67" i="31" s="1"/>
  <c r="G67" i="31" s="1"/>
  <c r="E67" i="28"/>
  <c r="F67" i="28" s="1"/>
  <c r="H67" i="28" s="1"/>
  <c r="F65" i="37"/>
  <c r="G65" i="37" s="1"/>
  <c r="B65" i="37"/>
  <c r="E71" i="25"/>
  <c r="F71" i="25" s="1"/>
  <c r="G71" i="25" s="1"/>
  <c r="B72" i="5"/>
  <c r="I71" i="4"/>
  <c r="I69" i="23"/>
  <c r="B72" i="3"/>
  <c r="H145" i="13"/>
  <c r="I145" i="13"/>
  <c r="B146" i="13"/>
  <c r="F146" i="13"/>
  <c r="I72" i="8" l="1"/>
  <c r="I73" i="8" s="1"/>
  <c r="I72" i="6"/>
  <c r="I73" i="6" s="1"/>
  <c r="F72" i="3"/>
  <c r="H72" i="3" s="1"/>
  <c r="F72" i="5"/>
  <c r="G72" i="5" s="1"/>
  <c r="G73" i="5" s="1"/>
  <c r="F72" i="4"/>
  <c r="H72" i="4" s="1"/>
  <c r="H69" i="24"/>
  <c r="H67" i="31"/>
  <c r="G66" i="30"/>
  <c r="G67" i="29"/>
  <c r="G67" i="28"/>
  <c r="G68" i="27"/>
  <c r="H71" i="25"/>
  <c r="G70" i="23"/>
  <c r="G71" i="22"/>
  <c r="G72" i="3"/>
  <c r="G73" i="3" s="1"/>
  <c r="G63" i="41"/>
  <c r="I63" i="41" s="1"/>
  <c r="G64" i="44"/>
  <c r="D65" i="44"/>
  <c r="H64" i="44"/>
  <c r="D69" i="27"/>
  <c r="D64" i="42"/>
  <c r="E64" i="42" s="1"/>
  <c r="H63" i="42"/>
  <c r="G63" i="42"/>
  <c r="D67" i="30"/>
  <c r="D68" i="29"/>
  <c r="D68" i="28"/>
  <c r="D68" i="31"/>
  <c r="D65" i="39"/>
  <c r="E65" i="39" s="1"/>
  <c r="H64" i="39"/>
  <c r="G64" i="39"/>
  <c r="D65" i="45"/>
  <c r="D63" i="43"/>
  <c r="E63" i="43" s="1"/>
  <c r="D70" i="24"/>
  <c r="D71" i="23"/>
  <c r="D72" i="25"/>
  <c r="D66" i="37"/>
  <c r="E66" i="37" s="1"/>
  <c r="D64" i="40"/>
  <c r="E64" i="40" s="1"/>
  <c r="F65" i="13"/>
  <c r="G65" i="13" s="1"/>
  <c r="B65" i="13"/>
  <c r="D65" i="38"/>
  <c r="E65" i="38" s="1"/>
  <c r="D72" i="22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H72" i="5" l="1"/>
  <c r="H73" i="5" s="1"/>
  <c r="G72" i="4"/>
  <c r="G73" i="4" s="1"/>
  <c r="I64" i="44"/>
  <c r="E67" i="30"/>
  <c r="F67" i="30" s="1"/>
  <c r="H67" i="30" s="1"/>
  <c r="E69" i="27"/>
  <c r="F69" i="27" s="1"/>
  <c r="H69" i="27" s="1"/>
  <c r="E72" i="25"/>
  <c r="E73" i="25" s="1"/>
  <c r="E70" i="24"/>
  <c r="F70" i="24" s="1"/>
  <c r="G70" i="24" s="1"/>
  <c r="E71" i="23"/>
  <c r="F71" i="23" s="1"/>
  <c r="G71" i="23" s="1"/>
  <c r="E72" i="22"/>
  <c r="E73" i="22" s="1"/>
  <c r="I67" i="29"/>
  <c r="E65" i="44"/>
  <c r="F65" i="44" s="1"/>
  <c r="B65" i="44"/>
  <c r="I68" i="27"/>
  <c r="I71" i="22"/>
  <c r="H65" i="13"/>
  <c r="I65" i="13" s="1"/>
  <c r="I66" i="30"/>
  <c r="B69" i="27"/>
  <c r="F64" i="41"/>
  <c r="G64" i="41" s="1"/>
  <c r="B64" i="41"/>
  <c r="F64" i="40"/>
  <c r="G64" i="40" s="1"/>
  <c r="B64" i="40"/>
  <c r="B70" i="24"/>
  <c r="B63" i="43"/>
  <c r="F63" i="43"/>
  <c r="H63" i="43" s="1"/>
  <c r="B65" i="39"/>
  <c r="F65" i="39"/>
  <c r="G65" i="39" s="1"/>
  <c r="I67" i="31"/>
  <c r="B68" i="28"/>
  <c r="B68" i="29"/>
  <c r="B67" i="30"/>
  <c r="I63" i="42"/>
  <c r="B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B72" i="22"/>
  <c r="D66" i="13"/>
  <c r="F66" i="37"/>
  <c r="H66" i="37" s="1"/>
  <c r="B66" i="37"/>
  <c r="B72" i="25"/>
  <c r="I70" i="23"/>
  <c r="I69" i="24"/>
  <c r="I72" i="4"/>
  <c r="I73" i="4" s="1"/>
  <c r="H73" i="4"/>
  <c r="E65" i="45"/>
  <c r="F65" i="45" s="1"/>
  <c r="I64" i="39"/>
  <c r="E68" i="31"/>
  <c r="F68" i="31" s="1"/>
  <c r="G68" i="31" s="1"/>
  <c r="E68" i="28"/>
  <c r="F68" i="28" s="1"/>
  <c r="H68" i="28" s="1"/>
  <c r="E68" i="29"/>
  <c r="F68" i="29" s="1"/>
  <c r="H68" i="29" s="1"/>
  <c r="F64" i="42"/>
  <c r="H64" i="42" s="1"/>
  <c r="B64" i="42"/>
  <c r="F147" i="13"/>
  <c r="B147" i="13"/>
  <c r="H146" i="13"/>
  <c r="I146" i="13"/>
  <c r="F72" i="22" l="1"/>
  <c r="H72" i="22" s="1"/>
  <c r="H68" i="31"/>
  <c r="G67" i="30"/>
  <c r="G68" i="29"/>
  <c r="G68" i="28"/>
  <c r="G69" i="27"/>
  <c r="F72" i="25"/>
  <c r="H72" i="25" s="1"/>
  <c r="H70" i="24"/>
  <c r="H71" i="23"/>
  <c r="G66" i="37"/>
  <c r="I66" i="37" s="1"/>
  <c r="D66" i="44"/>
  <c r="H65" i="44"/>
  <c r="G65" i="44"/>
  <c r="G63" i="43"/>
  <c r="I63" i="43" s="1"/>
  <c r="H64" i="40"/>
  <c r="I64" i="40" s="1"/>
  <c r="H64" i="41"/>
  <c r="I64" i="41" s="1"/>
  <c r="D70" i="27"/>
  <c r="D69" i="29"/>
  <c r="D69" i="28"/>
  <c r="D66" i="45"/>
  <c r="H65" i="45"/>
  <c r="G65" i="45"/>
  <c r="D69" i="31"/>
  <c r="D65" i="42"/>
  <c r="E65" i="42" s="1"/>
  <c r="D67" i="37"/>
  <c r="H65" i="38"/>
  <c r="I65" i="38" s="1"/>
  <c r="D66" i="39"/>
  <c r="E66" i="39" s="1"/>
  <c r="B65" i="46"/>
  <c r="G64" i="42"/>
  <c r="I64" i="42" s="1"/>
  <c r="B66" i="13"/>
  <c r="H65" i="39"/>
  <c r="I65" i="39" s="1"/>
  <c r="D64" i="43"/>
  <c r="E64" i="43" s="1"/>
  <c r="D71" i="24"/>
  <c r="D65" i="40"/>
  <c r="E65" i="40" s="1"/>
  <c r="D65" i="41"/>
  <c r="E65" i="41" s="1"/>
  <c r="E66" i="13"/>
  <c r="F66" i="13" s="1"/>
  <c r="E65" i="46"/>
  <c r="F65" i="46" s="1"/>
  <c r="D66" i="38"/>
  <c r="E66" i="38" s="1"/>
  <c r="D72" i="23"/>
  <c r="D68" i="30"/>
  <c r="D148" i="13"/>
  <c r="G147" i="13"/>
  <c r="G72" i="22" l="1"/>
  <c r="G73" i="22" s="1"/>
  <c r="G72" i="25"/>
  <c r="G73" i="25" s="1"/>
  <c r="E69" i="29"/>
  <c r="E69" i="28"/>
  <c r="F69" i="28" s="1"/>
  <c r="H69" i="28" s="1"/>
  <c r="E70" i="27"/>
  <c r="F70" i="27" s="1"/>
  <c r="G70" i="27" s="1"/>
  <c r="E71" i="24"/>
  <c r="F71" i="24" s="1"/>
  <c r="E72" i="23"/>
  <c r="E73" i="23" s="1"/>
  <c r="I65" i="44"/>
  <c r="I68" i="28"/>
  <c r="E66" i="44"/>
  <c r="F66" i="44" s="1"/>
  <c r="B66" i="44"/>
  <c r="I71" i="23"/>
  <c r="B70" i="27"/>
  <c r="I69" i="27"/>
  <c r="D66" i="46"/>
  <c r="E66" i="46" s="1"/>
  <c r="H65" i="46"/>
  <c r="G65" i="46"/>
  <c r="D67" i="13"/>
  <c r="H66" i="13"/>
  <c r="G66" i="13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H69" i="29" s="1"/>
  <c r="B69" i="29"/>
  <c r="E68" i="30"/>
  <c r="F68" i="30" s="1"/>
  <c r="H68" i="30" s="1"/>
  <c r="E67" i="37"/>
  <c r="F67" i="37" s="1"/>
  <c r="B65" i="42"/>
  <c r="F65" i="42"/>
  <c r="H65" i="42" s="1"/>
  <c r="I68" i="31"/>
  <c r="B66" i="45"/>
  <c r="B72" i="23"/>
  <c r="H73" i="25"/>
  <c r="F66" i="38"/>
  <c r="H66" i="38" s="1"/>
  <c r="B66" i="38"/>
  <c r="B65" i="41"/>
  <c r="F65" i="41"/>
  <c r="G65" i="41" s="1"/>
  <c r="B71" i="24"/>
  <c r="B64" i="43"/>
  <c r="F64" i="43"/>
  <c r="G64" i="43" s="1"/>
  <c r="H73" i="22"/>
  <c r="E69" i="31"/>
  <c r="F69" i="31" s="1"/>
  <c r="H69" i="31" s="1"/>
  <c r="E66" i="45"/>
  <c r="F66" i="45" s="1"/>
  <c r="B69" i="28"/>
  <c r="I68" i="29"/>
  <c r="I147" i="13"/>
  <c r="H147" i="13"/>
  <c r="B148" i="13"/>
  <c r="E148" i="13"/>
  <c r="F148" i="13" s="1"/>
  <c r="F72" i="23" l="1"/>
  <c r="H72" i="23" s="1"/>
  <c r="I72" i="25"/>
  <c r="I73" i="25" s="1"/>
  <c r="I72" i="22"/>
  <c r="I73" i="22" s="1"/>
  <c r="H71" i="24"/>
  <c r="G71" i="24"/>
  <c r="G69" i="31"/>
  <c r="G68" i="30"/>
  <c r="G69" i="29"/>
  <c r="G69" i="28"/>
  <c r="H70" i="27"/>
  <c r="G72" i="23"/>
  <c r="G73" i="23" s="1"/>
  <c r="H66" i="44"/>
  <c r="D67" i="44"/>
  <c r="B67" i="44" s="1"/>
  <c r="G66" i="44"/>
  <c r="H64" i="43"/>
  <c r="I64" i="43" s="1"/>
  <c r="G66" i="38"/>
  <c r="I66" i="38" s="1"/>
  <c r="D71" i="27"/>
  <c r="D70" i="31"/>
  <c r="D69" i="30"/>
  <c r="D68" i="37"/>
  <c r="E68" i="37" s="1"/>
  <c r="H67" i="37"/>
  <c r="G67" i="37"/>
  <c r="D67" i="45"/>
  <c r="E67" i="45" s="1"/>
  <c r="D70" i="29"/>
  <c r="D66" i="42"/>
  <c r="E66" i="42" s="1"/>
  <c r="H66" i="39"/>
  <c r="I66" i="39" s="1"/>
  <c r="I66" i="13"/>
  <c r="I65" i="46"/>
  <c r="D66" i="40"/>
  <c r="E66" i="40" s="1"/>
  <c r="D65" i="43"/>
  <c r="E65" i="43" s="1"/>
  <c r="H66" i="45"/>
  <c r="G65" i="42"/>
  <c r="I65" i="42" s="1"/>
  <c r="G65" i="40"/>
  <c r="I65" i="40" s="1"/>
  <c r="B67" i="13"/>
  <c r="D70" i="28"/>
  <c r="D66" i="41"/>
  <c r="E66" i="41" s="1"/>
  <c r="D72" i="24"/>
  <c r="H65" i="41"/>
  <c r="I65" i="41" s="1"/>
  <c r="D67" i="38"/>
  <c r="G66" i="45"/>
  <c r="D67" i="39"/>
  <c r="E67" i="39" s="1"/>
  <c r="E67" i="13"/>
  <c r="F67" i="13" s="1"/>
  <c r="F66" i="46"/>
  <c r="B66" i="46"/>
  <c r="D149" i="13"/>
  <c r="G148" i="13"/>
  <c r="I66" i="44" l="1"/>
  <c r="E70" i="31"/>
  <c r="F70" i="31" s="1"/>
  <c r="H70" i="31" s="1"/>
  <c r="E70" i="29"/>
  <c r="F70" i="29" s="1"/>
  <c r="G70" i="29" s="1"/>
  <c r="E70" i="28"/>
  <c r="F70" i="28" s="1"/>
  <c r="G70" i="28" s="1"/>
  <c r="E72" i="24"/>
  <c r="E73" i="24" s="1"/>
  <c r="E67" i="44"/>
  <c r="F67" i="44" s="1"/>
  <c r="G67" i="44" s="1"/>
  <c r="I69" i="29"/>
  <c r="E71" i="27"/>
  <c r="F71" i="27" s="1"/>
  <c r="H71" i="27" s="1"/>
  <c r="B71" i="27"/>
  <c r="I67" i="37"/>
  <c r="I71" i="24"/>
  <c r="I70" i="27"/>
  <c r="D68" i="13"/>
  <c r="E68" i="13" s="1"/>
  <c r="G67" i="13"/>
  <c r="H67" i="13"/>
  <c r="D67" i="46"/>
  <c r="B69" i="30"/>
  <c r="H66" i="46"/>
  <c r="B72" i="24"/>
  <c r="I72" i="23"/>
  <c r="I73" i="23" s="1"/>
  <c r="H73" i="23"/>
  <c r="F66" i="40"/>
  <c r="B66" i="40"/>
  <c r="B70" i="31"/>
  <c r="B67" i="3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E69" i="30"/>
  <c r="F69" i="30" s="1"/>
  <c r="H69" i="30" s="1"/>
  <c r="B149" i="13"/>
  <c r="E149" i="13"/>
  <c r="F149" i="13" s="1"/>
  <c r="I148" i="13"/>
  <c r="H148" i="13"/>
  <c r="G70" i="31" l="1"/>
  <c r="G69" i="30"/>
  <c r="H70" i="29"/>
  <c r="H70" i="28"/>
  <c r="G71" i="27"/>
  <c r="F72" i="24"/>
  <c r="H67" i="44"/>
  <c r="I67" i="44" s="1"/>
  <c r="D68" i="44"/>
  <c r="G66" i="42"/>
  <c r="I66" i="42" s="1"/>
  <c r="D72" i="27"/>
  <c r="I67" i="13"/>
  <c r="D70" i="30"/>
  <c r="D68" i="38"/>
  <c r="D67" i="40"/>
  <c r="E67" i="40" s="1"/>
  <c r="D71" i="29"/>
  <c r="D68" i="39"/>
  <c r="E68" i="39" s="1"/>
  <c r="G66" i="40"/>
  <c r="I66" i="46"/>
  <c r="D67" i="41"/>
  <c r="D68" i="45"/>
  <c r="E68" i="45" s="1"/>
  <c r="D66" i="43"/>
  <c r="G66" i="41"/>
  <c r="H67" i="45"/>
  <c r="D71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D71" i="31"/>
  <c r="E67" i="46"/>
  <c r="F67" i="46" s="1"/>
  <c r="F68" i="13"/>
  <c r="H68" i="13" s="1"/>
  <c r="B68" i="13"/>
  <c r="D150" i="13"/>
  <c r="G149" i="13"/>
  <c r="G68" i="13" l="1"/>
  <c r="I68" i="13" s="1"/>
  <c r="E71" i="31"/>
  <c r="F71" i="31" s="1"/>
  <c r="H71" i="31" s="1"/>
  <c r="E71" i="28"/>
  <c r="F71" i="28" s="1"/>
  <c r="H71" i="28" s="1"/>
  <c r="H72" i="24"/>
  <c r="H73" i="24" s="1"/>
  <c r="G72" i="24"/>
  <c r="G73" i="24" s="1"/>
  <c r="E68" i="44"/>
  <c r="F68" i="44" s="1"/>
  <c r="B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7" i="38"/>
  <c r="I67" i="45"/>
  <c r="F68" i="39"/>
  <c r="B68" i="39"/>
  <c r="B71" i="29"/>
  <c r="B69" i="37"/>
  <c r="B71" i="31"/>
  <c r="I70" i="28"/>
  <c r="B68" i="45"/>
  <c r="F68" i="45"/>
  <c r="H68" i="45" s="1"/>
  <c r="E71" i="29"/>
  <c r="F71" i="29" s="1"/>
  <c r="H71" i="29" s="1"/>
  <c r="B67" i="40"/>
  <c r="F67" i="40"/>
  <c r="H67" i="40" s="1"/>
  <c r="E70" i="30"/>
  <c r="F70" i="30" s="1"/>
  <c r="H70" i="30" s="1"/>
  <c r="B66" i="43"/>
  <c r="B68" i="38"/>
  <c r="D69" i="13"/>
  <c r="E69" i="13" s="1"/>
  <c r="I70" i="31"/>
  <c r="B67" i="42"/>
  <c r="F67" i="42"/>
  <c r="H67" i="42" s="1"/>
  <c r="E69" i="37"/>
  <c r="F69" i="37" s="1"/>
  <c r="B71" i="28"/>
  <c r="E66" i="43"/>
  <c r="F66" i="43" s="1"/>
  <c r="E67" i="41"/>
  <c r="F67" i="41" s="1"/>
  <c r="I70" i="29"/>
  <c r="E68" i="38"/>
  <c r="F68" i="38" s="1"/>
  <c r="B150" i="13"/>
  <c r="H149" i="13"/>
  <c r="I149" i="13"/>
  <c r="E150" i="13"/>
  <c r="F150" i="13" s="1"/>
  <c r="G71" i="31" l="1"/>
  <c r="G70" i="30"/>
  <c r="G71" i="29"/>
  <c r="G71" i="28"/>
  <c r="I72" i="24"/>
  <c r="I73" i="24" s="1"/>
  <c r="H68" i="44"/>
  <c r="G68" i="44"/>
  <c r="D69" i="44"/>
  <c r="I67" i="46"/>
  <c r="G68" i="45"/>
  <c r="I68" i="45" s="1"/>
  <c r="F72" i="27"/>
  <c r="D71" i="30"/>
  <c r="D67" i="43"/>
  <c r="E67" i="43" s="1"/>
  <c r="H66" i="43"/>
  <c r="G66" i="43"/>
  <c r="D72" i="29"/>
  <c r="E72" i="29" s="1"/>
  <c r="E73" i="29" s="1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D72" i="28"/>
  <c r="D68" i="42"/>
  <c r="E68" i="42" s="1"/>
  <c r="G68" i="39"/>
  <c r="G67" i="42"/>
  <c r="I67" i="42" s="1"/>
  <c r="B69" i="13"/>
  <c r="F69" i="13"/>
  <c r="G69" i="13" s="1"/>
  <c r="G67" i="40"/>
  <c r="I67" i="40" s="1"/>
  <c r="D69" i="45"/>
  <c r="D72" i="31"/>
  <c r="H68" i="39"/>
  <c r="F68" i="46"/>
  <c r="H68" i="46" s="1"/>
  <c r="B68" i="46"/>
  <c r="G150" i="13"/>
  <c r="D151" i="13"/>
  <c r="I68" i="44" l="1"/>
  <c r="E72" i="31"/>
  <c r="E73" i="31" s="1"/>
  <c r="E71" i="30"/>
  <c r="F71" i="30" s="1"/>
  <c r="H71" i="30" s="1"/>
  <c r="H72" i="27"/>
  <c r="G72" i="27"/>
  <c r="G73" i="27" s="1"/>
  <c r="I67" i="41"/>
  <c r="E69" i="44"/>
  <c r="F69" i="44" s="1"/>
  <c r="B69" i="44"/>
  <c r="I68" i="39"/>
  <c r="I70" i="30"/>
  <c r="I69" i="37"/>
  <c r="H69" i="13"/>
  <c r="I69" i="13" s="1"/>
  <c r="I71" i="28"/>
  <c r="B69" i="45"/>
  <c r="B69" i="39"/>
  <c r="G68" i="46"/>
  <c r="I68" i="46" s="1"/>
  <c r="I68" i="38"/>
  <c r="I66" i="43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B72" i="31"/>
  <c r="E69" i="45"/>
  <c r="F69" i="45" s="1"/>
  <c r="D70" i="13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F72" i="31" l="1"/>
  <c r="G72" i="31" s="1"/>
  <c r="G73" i="31" s="1"/>
  <c r="G71" i="30"/>
  <c r="H72" i="29"/>
  <c r="G72" i="29"/>
  <c r="G73" i="29" s="1"/>
  <c r="H69" i="44"/>
  <c r="D70" i="44"/>
  <c r="G69" i="44"/>
  <c r="H70" i="37"/>
  <c r="I70" i="37" s="1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68" i="40"/>
  <c r="D70" i="38"/>
  <c r="E70" i="38" s="1"/>
  <c r="D68" i="43"/>
  <c r="E68" i="43" s="1"/>
  <c r="H69" i="38"/>
  <c r="G68" i="41"/>
  <c r="I68" i="41" s="1"/>
  <c r="D71" i="37"/>
  <c r="E71" i="37" s="1"/>
  <c r="B70" i="13"/>
  <c r="F72" i="28"/>
  <c r="D69" i="40"/>
  <c r="E69" i="40" s="1"/>
  <c r="G69" i="38"/>
  <c r="E70" i="13"/>
  <c r="F70" i="13" s="1"/>
  <c r="B69" i="46"/>
  <c r="F69" i="46"/>
  <c r="G69" i="46" s="1"/>
  <c r="D69" i="42"/>
  <c r="E69" i="42" s="1"/>
  <c r="D72" i="30"/>
  <c r="D152" i="13"/>
  <c r="G151" i="13"/>
  <c r="I69" i="44" l="1"/>
  <c r="H72" i="31"/>
  <c r="H73" i="31" s="1"/>
  <c r="E72" i="30"/>
  <c r="E73" i="30" s="1"/>
  <c r="H72" i="28"/>
  <c r="G72" i="28"/>
  <c r="G73" i="28" s="1"/>
  <c r="E70" i="44"/>
  <c r="F70" i="44" s="1"/>
  <c r="B70" i="44"/>
  <c r="I69" i="39"/>
  <c r="H69" i="46"/>
  <c r="I69" i="46" s="1"/>
  <c r="D71" i="13"/>
  <c r="G70" i="13"/>
  <c r="H70" i="13"/>
  <c r="I71" i="30"/>
  <c r="I72" i="31"/>
  <c r="I73" i="31" s="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69" i="42"/>
  <c r="G69" i="42" s="1"/>
  <c r="B69" i="42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F72" i="30" l="1"/>
  <c r="H72" i="30" s="1"/>
  <c r="G70" i="38"/>
  <c r="I70" i="38" s="1"/>
  <c r="H70" i="44"/>
  <c r="D71" i="44"/>
  <c r="G70" i="44"/>
  <c r="I70" i="13"/>
  <c r="H70" i="39"/>
  <c r="I70" i="39" s="1"/>
  <c r="H68" i="43"/>
  <c r="I68" i="43" s="1"/>
  <c r="H71" i="37"/>
  <c r="I71" i="37" s="1"/>
  <c r="D71" i="45"/>
  <c r="E71" i="45" s="1"/>
  <c r="I72" i="28"/>
  <c r="I73" i="28" s="1"/>
  <c r="H73" i="28"/>
  <c r="D70" i="40"/>
  <c r="E70" i="40" s="1"/>
  <c r="D70" i="41"/>
  <c r="E70" i="41" s="1"/>
  <c r="G69" i="40"/>
  <c r="B70" i="46"/>
  <c r="F70" i="46"/>
  <c r="H70" i="46" s="1"/>
  <c r="G69" i="41"/>
  <c r="B71" i="13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E71" i="13"/>
  <c r="F71" i="13" s="1"/>
  <c r="D153" i="13"/>
  <c r="E153" i="13" s="1"/>
  <c r="G152" i="13"/>
  <c r="G72" i="30" l="1"/>
  <c r="G73" i="30" s="1"/>
  <c r="I70" i="44"/>
  <c r="E71" i="44"/>
  <c r="F71" i="44" s="1"/>
  <c r="B71" i="44"/>
  <c r="I69" i="41"/>
  <c r="I69" i="40"/>
  <c r="G70" i="46"/>
  <c r="I70" i="46" s="1"/>
  <c r="D72" i="13"/>
  <c r="G71" i="13"/>
  <c r="H71" i="13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I70" i="41" s="1"/>
  <c r="H71" i="44"/>
  <c r="D72" i="44"/>
  <c r="G71" i="44"/>
  <c r="H71" i="39"/>
  <c r="I71" i="39" s="1"/>
  <c r="I71" i="13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B72" i="13"/>
  <c r="D71" i="40"/>
  <c r="G71" i="38"/>
  <c r="I71" i="38" s="1"/>
  <c r="H70" i="42"/>
  <c r="I70" i="42" s="1"/>
  <c r="D71" i="41"/>
  <c r="D72" i="39"/>
  <c r="E72" i="39" s="1"/>
  <c r="E73" i="39" s="1"/>
  <c r="E72" i="13"/>
  <c r="E73" i="13" s="1"/>
  <c r="D154" i="13"/>
  <c r="E154" i="13" s="1"/>
  <c r="E155" i="13" s="1"/>
  <c r="G153" i="13"/>
  <c r="I71" i="44" l="1"/>
  <c r="E72" i="44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13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F72" i="44" l="1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H72" i="13"/>
  <c r="G72" i="13"/>
  <c r="G73" i="13" s="1"/>
  <c r="B72" i="46"/>
  <c r="E72" i="46"/>
  <c r="E73" i="46" s="1"/>
  <c r="H154" i="13"/>
  <c r="H155" i="13" s="1"/>
  <c r="I154" i="13"/>
  <c r="I155" i="13" s="1"/>
  <c r="I72" i="45" l="1"/>
  <c r="I73" i="45" s="1"/>
  <c r="H72" i="44"/>
  <c r="H73" i="44" s="1"/>
  <c r="H73" i="39"/>
  <c r="F72" i="46"/>
  <c r="G72" i="46" s="1"/>
  <c r="G73" i="46" s="1"/>
  <c r="I71" i="40"/>
  <c r="F71" i="43"/>
  <c r="H71" i="43" s="1"/>
  <c r="B71" i="43"/>
  <c r="I71" i="41"/>
  <c r="I72" i="13"/>
  <c r="I73" i="13" s="1"/>
  <c r="H73" i="13"/>
  <c r="F72" i="42"/>
  <c r="H72" i="42" s="1"/>
  <c r="B72" i="42"/>
  <c r="I72" i="38"/>
  <c r="I73" i="38" s="1"/>
  <c r="B72" i="41"/>
  <c r="F72" i="41"/>
  <c r="H72" i="41" s="1"/>
  <c r="B72" i="40"/>
  <c r="F72" i="40"/>
  <c r="H72" i="40" s="1"/>
  <c r="I72" i="44" l="1"/>
  <c r="I73" i="44" s="1"/>
  <c r="H72" i="46"/>
  <c r="H73" i="46" s="1"/>
  <c r="G71" i="43"/>
  <c r="I71" i="43" s="1"/>
  <c r="G72" i="40"/>
  <c r="G73" i="40" s="1"/>
  <c r="G72" i="41"/>
  <c r="G73" i="41" s="1"/>
  <c r="G72" i="42"/>
  <c r="G73" i="42" s="1"/>
  <c r="H73" i="42"/>
  <c r="H73" i="41"/>
  <c r="H73" i="40"/>
  <c r="D72" i="43"/>
  <c r="E72" i="43" s="1"/>
  <c r="E73" i="43" s="1"/>
  <c r="I72" i="46" l="1"/>
  <c r="I73" i="46" s="1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H72" i="43" l="1"/>
  <c r="I72" i="43" s="1"/>
  <c r="I73" i="43" s="1"/>
  <c r="H73" i="43" l="1"/>
  <c r="N100" i="38"/>
  <c r="O100" i="38" s="1"/>
  <c r="L100" i="38"/>
  <c r="M100" i="38" s="1"/>
  <c r="B100" i="42"/>
  <c r="B100" i="43"/>
  <c r="B100" i="41"/>
  <c r="B100" i="46" l="1"/>
  <c r="P100" i="38"/>
  <c r="J99" i="41"/>
  <c r="J99" i="43"/>
  <c r="B101" i="45" l="1"/>
  <c r="J100" i="45"/>
  <c r="B101" i="44"/>
  <c r="J99" i="42"/>
  <c r="B101" i="41"/>
  <c r="B101" i="42"/>
  <c r="B101" i="38"/>
  <c r="D101" i="46" l="1"/>
  <c r="B101" i="46" s="1"/>
  <c r="J99" i="46"/>
  <c r="D102" i="45"/>
  <c r="D102" i="44"/>
  <c r="J100" i="44"/>
  <c r="J100" i="38"/>
  <c r="J100" i="42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J100" i="46" l="1"/>
  <c r="B102" i="45"/>
  <c r="B102" i="44"/>
  <c r="B102" i="38"/>
  <c r="B102" i="42"/>
  <c r="B102" i="41"/>
  <c r="J100" i="43"/>
  <c r="J102" i="30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J101" i="44" l="1"/>
  <c r="J101" i="45"/>
  <c r="J101" i="42"/>
  <c r="J101" i="38"/>
  <c r="D103" i="41"/>
  <c r="D103" i="42"/>
  <c r="J101" i="41"/>
  <c r="D103" i="38"/>
  <c r="B107" i="24"/>
  <c r="B101" i="40"/>
  <c r="B106" i="27"/>
  <c r="B104" i="30"/>
  <c r="B109" i="25"/>
  <c r="B109" i="22"/>
  <c r="B111" i="8"/>
  <c r="B113" i="7"/>
  <c r="B105" i="31"/>
  <c r="B105" i="29"/>
  <c r="B105" i="28"/>
  <c r="B110" i="4"/>
  <c r="B113" i="10"/>
  <c r="B108" i="23"/>
  <c r="B110" i="3"/>
  <c r="B102" i="43"/>
  <c r="B112" i="11"/>
  <c r="B111" i="6"/>
  <c r="B112" i="9"/>
  <c r="B102" i="39"/>
  <c r="B102" i="37"/>
  <c r="B110" i="5"/>
  <c r="B103" i="42" l="1"/>
  <c r="B103" i="38"/>
  <c r="B103" i="41"/>
  <c r="J111" i="9"/>
  <c r="J101" i="43"/>
  <c r="J112" i="10"/>
  <c r="J104" i="29"/>
  <c r="J109" i="5"/>
  <c r="J106" i="24"/>
  <c r="J109" i="3"/>
  <c r="J104" i="28"/>
  <c r="J105" i="27"/>
  <c r="J100" i="40"/>
  <c r="D110" i="25"/>
  <c r="J101" i="37"/>
  <c r="J101" i="39"/>
  <c r="J110" i="6"/>
  <c r="J111" i="11"/>
  <c r="D103" i="43"/>
  <c r="J110" i="8"/>
  <c r="J108" i="25"/>
  <c r="J107" i="23"/>
  <c r="J109" i="4"/>
  <c r="J104" i="31"/>
  <c r="J112" i="7"/>
  <c r="J108" i="22"/>
  <c r="J103" i="30"/>
  <c r="J102" i="38" l="1"/>
  <c r="J102" i="41"/>
  <c r="J102" i="42"/>
  <c r="B106" i="28"/>
  <c r="B109" i="23"/>
  <c r="B103" i="39"/>
  <c r="B108" i="24"/>
  <c r="B111" i="3"/>
  <c r="B111" i="4"/>
  <c r="B107" i="27"/>
  <c r="B114" i="7"/>
  <c r="B106" i="29"/>
  <c r="B103" i="43"/>
  <c r="B110" i="22"/>
  <c r="B114" i="10"/>
  <c r="B112" i="6"/>
  <c r="B105" i="30"/>
  <c r="B106" i="31"/>
  <c r="B112" i="8"/>
  <c r="B110" i="25"/>
  <c r="B113" i="11"/>
  <c r="B111" i="5"/>
  <c r="B102" i="40"/>
  <c r="B103" i="37"/>
  <c r="B113" i="9"/>
  <c r="D104" i="37" l="1"/>
  <c r="D114" i="11"/>
  <c r="J105" i="29"/>
  <c r="D113" i="8"/>
  <c r="D107" i="29"/>
  <c r="D108" i="27"/>
  <c r="D112" i="4"/>
  <c r="J102" i="37"/>
  <c r="D107" i="28"/>
  <c r="J109" i="25"/>
  <c r="D112" i="5"/>
  <c r="J109" i="22"/>
  <c r="J110" i="4"/>
  <c r="D106" i="30"/>
  <c r="J107" i="24"/>
  <c r="J108" i="23"/>
  <c r="D111" i="22"/>
  <c r="D110" i="23"/>
  <c r="J101" i="40"/>
  <c r="J110" i="5"/>
  <c r="D114" i="9"/>
  <c r="J112" i="11"/>
  <c r="D103" i="40"/>
  <c r="J111" i="8"/>
  <c r="J104" i="30"/>
  <c r="J113" i="10"/>
  <c r="J102" i="43"/>
  <c r="J106" i="27"/>
  <c r="J105" i="28"/>
  <c r="D115" i="7"/>
  <c r="J110" i="3"/>
  <c r="D109" i="24"/>
  <c r="D104" i="39"/>
  <c r="J105" i="31"/>
  <c r="J111" i="6"/>
  <c r="J113" i="7"/>
  <c r="D107" i="31"/>
  <c r="D113" i="6"/>
  <c r="J102" i="39"/>
  <c r="D115" i="10"/>
  <c r="D112" i="3"/>
  <c r="J112" i="9"/>
  <c r="P108" i="25" l="1"/>
  <c r="B104" i="39"/>
  <c r="B107" i="28"/>
  <c r="B108" i="27"/>
  <c r="B112" i="3"/>
  <c r="B115" i="10"/>
  <c r="B107" i="31"/>
  <c r="B115" i="7"/>
  <c r="B103" i="40"/>
  <c r="B112" i="4"/>
  <c r="B113" i="6"/>
  <c r="B114" i="9"/>
  <c r="B106" i="30"/>
  <c r="B112" i="5"/>
  <c r="B113" i="8"/>
  <c r="B104" i="37"/>
  <c r="B109" i="24"/>
  <c r="B110" i="23"/>
  <c r="B111" i="22"/>
  <c r="B107" i="29"/>
  <c r="B114" i="11"/>
  <c r="J112" i="8" l="1"/>
  <c r="J113" i="9"/>
  <c r="J103" i="39"/>
  <c r="J111" i="3"/>
  <c r="J108" i="24"/>
  <c r="J111" i="4"/>
  <c r="J103" i="37"/>
  <c r="J102" i="40"/>
  <c r="J114" i="10"/>
  <c r="J107" i="27"/>
  <c r="J106" i="28"/>
  <c r="J110" i="22"/>
  <c r="J105" i="30"/>
  <c r="J106" i="31"/>
  <c r="J106" i="29"/>
  <c r="J111" i="5"/>
  <c r="J112" i="6"/>
  <c r="J114" i="7"/>
  <c r="J113" i="11"/>
  <c r="J109" i="23"/>
  <c r="K35" i="17" l="1"/>
  <c r="L35" i="17" s="1"/>
  <c r="K41" i="17"/>
  <c r="L41" i="17" s="1"/>
  <c r="K21" i="17"/>
  <c r="L21" i="17" s="1"/>
  <c r="K20" i="17"/>
  <c r="L20" i="17" s="1"/>
  <c r="K27" i="17"/>
  <c r="L27" i="17" s="1"/>
  <c r="K43" i="17"/>
  <c r="L43" i="17" s="1"/>
  <c r="K22" i="17"/>
  <c r="L22" i="17" s="1"/>
  <c r="K37" i="17"/>
  <c r="L37" i="17" s="1"/>
  <c r="K30" i="17"/>
  <c r="L30" i="17" s="1"/>
  <c r="K28" i="17"/>
  <c r="L28" i="17" s="1"/>
  <c r="K19" i="17"/>
  <c r="L19" i="17" s="1"/>
  <c r="K32" i="17"/>
  <c r="L32" i="17" s="1"/>
  <c r="K38" i="17"/>
  <c r="L38" i="17" s="1"/>
  <c r="K25" i="17"/>
  <c r="L25" i="17" s="1"/>
  <c r="K33" i="17"/>
  <c r="L33" i="17" s="1"/>
  <c r="K31" i="17"/>
  <c r="L31" i="17" s="1"/>
  <c r="K40" i="17"/>
  <c r="L40" i="17" s="1"/>
  <c r="K29" i="17"/>
  <c r="L29" i="17" s="1"/>
  <c r="K18" i="17"/>
  <c r="L18" i="17" s="1"/>
  <c r="K34" i="17"/>
  <c r="L34" i="17" s="1"/>
  <c r="K44" i="17"/>
  <c r="L44" i="17" s="1"/>
  <c r="K24" i="17"/>
  <c r="L24" i="17" s="1"/>
  <c r="K26" i="17"/>
  <c r="L26" i="17" s="1"/>
  <c r="K36" i="17"/>
  <c r="L36" i="17" s="1"/>
  <c r="K23" i="17"/>
  <c r="L23" i="17" s="1"/>
  <c r="K42" i="17" l="1"/>
  <c r="L42" i="17" s="1"/>
  <c r="K39" i="17"/>
  <c r="L39" i="17" s="1"/>
  <c r="K51" i="17" l="1"/>
  <c r="L50" i="17" l="1"/>
  <c r="E99" i="48" l="1"/>
  <c r="E99" i="47" l="1"/>
  <c r="F99" i="47" s="1"/>
  <c r="E99" i="49"/>
  <c r="F99" i="48"/>
  <c r="G99" i="47" l="1"/>
  <c r="D100" i="47"/>
  <c r="B100" i="47" s="1"/>
  <c r="F99" i="49"/>
  <c r="D100" i="48"/>
  <c r="G99" i="48"/>
  <c r="D100" i="49" l="1"/>
  <c r="G99" i="49"/>
  <c r="B100" i="48"/>
  <c r="H99" i="47" l="1"/>
  <c r="L99" i="47" s="1"/>
  <c r="M99" i="47" s="1"/>
  <c r="L86" i="49"/>
  <c r="B100" i="49"/>
  <c r="I14" i="47"/>
  <c r="H99" i="49" l="1"/>
  <c r="M88" i="49" s="1"/>
  <c r="I99" i="47"/>
  <c r="L86" i="47"/>
  <c r="N88" i="47"/>
  <c r="M88" i="47"/>
  <c r="I17" i="49"/>
  <c r="M17" i="49"/>
  <c r="N6" i="49"/>
  <c r="L99" i="49"/>
  <c r="M99" i="49" s="1"/>
  <c r="I14" i="48"/>
  <c r="I14" i="49"/>
  <c r="K17" i="49"/>
  <c r="N5" i="49"/>
  <c r="I99" i="49"/>
  <c r="N88" i="49" s="1"/>
  <c r="H99" i="48"/>
  <c r="M88" i="48" s="1"/>
  <c r="L86" i="48"/>
  <c r="O88" i="49" l="1"/>
  <c r="J99" i="47"/>
  <c r="N99" i="47"/>
  <c r="O99" i="47" s="1"/>
  <c r="P99" i="47" s="1"/>
  <c r="N17" i="49"/>
  <c r="N87" i="49"/>
  <c r="L17" i="49"/>
  <c r="M87" i="49"/>
  <c r="M89" i="49" s="1"/>
  <c r="O88" i="47"/>
  <c r="N99" i="49"/>
  <c r="O99" i="49" s="1"/>
  <c r="P99" i="49" s="1"/>
  <c r="J99" i="49"/>
  <c r="E18" i="49"/>
  <c r="N7" i="49"/>
  <c r="I99" i="48"/>
  <c r="N88" i="48" s="1"/>
  <c r="O88" i="48" s="1"/>
  <c r="L99" i="48"/>
  <c r="M99" i="48" s="1"/>
  <c r="I48" i="17"/>
  <c r="V48" i="17" l="1"/>
  <c r="O17" i="49"/>
  <c r="O87" i="49"/>
  <c r="O89" i="49" s="1"/>
  <c r="N89" i="49"/>
  <c r="D18" i="47"/>
  <c r="E18" i="47"/>
  <c r="F18" i="49"/>
  <c r="D18" i="48"/>
  <c r="E18" i="48"/>
  <c r="N99" i="48"/>
  <c r="O99" i="48" s="1"/>
  <c r="P99" i="48" s="1"/>
  <c r="J99" i="48"/>
  <c r="M17" i="47" l="1"/>
  <c r="I17" i="47"/>
  <c r="N6" i="47"/>
  <c r="K17" i="47"/>
  <c r="N5" i="47"/>
  <c r="F18" i="47"/>
  <c r="H18" i="47" s="1"/>
  <c r="B18" i="47"/>
  <c r="D19" i="49"/>
  <c r="H18" i="49"/>
  <c r="G18" i="49"/>
  <c r="E19" i="49"/>
  <c r="F18" i="48"/>
  <c r="H18" i="48" s="1"/>
  <c r="B18" i="48"/>
  <c r="K17" i="48"/>
  <c r="N5" i="48"/>
  <c r="I17" i="48"/>
  <c r="M17" i="48"/>
  <c r="N6" i="48"/>
  <c r="L17" i="48" l="1"/>
  <c r="M87" i="48"/>
  <c r="M89" i="48" s="1"/>
  <c r="N17" i="47"/>
  <c r="N87" i="47"/>
  <c r="N17" i="48"/>
  <c r="N87" i="48"/>
  <c r="L17" i="47"/>
  <c r="M87" i="47"/>
  <c r="N7" i="47"/>
  <c r="M19" i="1"/>
  <c r="M20" i="1" s="1"/>
  <c r="G18" i="47"/>
  <c r="D19" i="47"/>
  <c r="E19" i="47" s="1"/>
  <c r="O17" i="48"/>
  <c r="G18" i="48"/>
  <c r="I18" i="48" s="1"/>
  <c r="I18" i="49"/>
  <c r="F19" i="49"/>
  <c r="B19" i="49"/>
  <c r="N7" i="48"/>
  <c r="N19" i="1"/>
  <c r="D19" i="48"/>
  <c r="E19" i="48"/>
  <c r="I47" i="17"/>
  <c r="O17" i="47" l="1"/>
  <c r="V47" i="17"/>
  <c r="M89" i="47"/>
  <c r="N17" i="2"/>
  <c r="R132" i="2" s="1"/>
  <c r="N89" i="47"/>
  <c r="O87" i="47"/>
  <c r="O89" i="47" s="1"/>
  <c r="O17" i="2"/>
  <c r="O87" i="48"/>
  <c r="O89" i="48" s="1"/>
  <c r="N89" i="48"/>
  <c r="R132" i="1"/>
  <c r="B19" i="47"/>
  <c r="F19" i="47"/>
  <c r="I18" i="47"/>
  <c r="D20" i="49"/>
  <c r="E20" i="49"/>
  <c r="H19" i="49"/>
  <c r="G19" i="49"/>
  <c r="F19" i="48"/>
  <c r="G19" i="48" s="1"/>
  <c r="B19" i="48"/>
  <c r="O19" i="1"/>
  <c r="R133" i="1"/>
  <c r="N20" i="1"/>
  <c r="I46" i="17"/>
  <c r="V46" i="17" l="1"/>
  <c r="R133" i="2"/>
  <c r="P17" i="2"/>
  <c r="D20" i="47"/>
  <c r="E20" i="47"/>
  <c r="G19" i="47"/>
  <c r="H19" i="47"/>
  <c r="H19" i="48"/>
  <c r="I19" i="48" s="1"/>
  <c r="I19" i="49"/>
  <c r="F20" i="49"/>
  <c r="B20" i="49"/>
  <c r="R134" i="1"/>
  <c r="F51" i="17"/>
  <c r="O20" i="1"/>
  <c r="D20" i="48"/>
  <c r="E20" i="48"/>
  <c r="I19" i="47" l="1"/>
  <c r="F20" i="47"/>
  <c r="G20" i="47" s="1"/>
  <c r="B20" i="47"/>
  <c r="D21" i="49"/>
  <c r="E21" i="49" s="1"/>
  <c r="G20" i="49"/>
  <c r="H20" i="49"/>
  <c r="F20" i="48"/>
  <c r="B20" i="48"/>
  <c r="H20" i="47" l="1"/>
  <c r="I20" i="47" s="1"/>
  <c r="D21" i="47"/>
  <c r="E21" i="47" s="1"/>
  <c r="B21" i="49"/>
  <c r="F21" i="49"/>
  <c r="H21" i="49" s="1"/>
  <c r="I20" i="49"/>
  <c r="D21" i="48"/>
  <c r="E21" i="48"/>
  <c r="H20" i="48"/>
  <c r="G20" i="48"/>
  <c r="F21" i="47" l="1"/>
  <c r="B21" i="47"/>
  <c r="G21" i="49"/>
  <c r="I21" i="49" s="1"/>
  <c r="D22" i="49"/>
  <c r="E22" i="49"/>
  <c r="I20" i="48"/>
  <c r="F21" i="48"/>
  <c r="H21" i="48" s="1"/>
  <c r="B21" i="48"/>
  <c r="G21" i="48" l="1"/>
  <c r="D22" i="47"/>
  <c r="E22" i="47" s="1"/>
  <c r="G21" i="47"/>
  <c r="H21" i="47"/>
  <c r="I21" i="48"/>
  <c r="F22" i="49"/>
  <c r="G22" i="49" s="1"/>
  <c r="B22" i="49"/>
  <c r="D22" i="48"/>
  <c r="E22" i="48"/>
  <c r="F22" i="47" l="1"/>
  <c r="G22" i="47" s="1"/>
  <c r="B22" i="47"/>
  <c r="I21" i="47"/>
  <c r="D23" i="49"/>
  <c r="E23" i="49"/>
  <c r="H22" i="49"/>
  <c r="I22" i="49" s="1"/>
  <c r="F22" i="48"/>
  <c r="H22" i="48" s="1"/>
  <c r="B22" i="48"/>
  <c r="H22" i="47" l="1"/>
  <c r="I22" i="47" s="1"/>
  <c r="D23" i="47"/>
  <c r="E23" i="47"/>
  <c r="G22" i="48"/>
  <c r="I22" i="48" s="1"/>
  <c r="F23" i="49"/>
  <c r="H23" i="49" s="1"/>
  <c r="B23" i="49"/>
  <c r="D23" i="48"/>
  <c r="E23" i="48"/>
  <c r="F23" i="47" l="1"/>
  <c r="H23" i="47" s="1"/>
  <c r="B23" i="47"/>
  <c r="D24" i="49"/>
  <c r="E24" i="49"/>
  <c r="G23" i="49"/>
  <c r="I23" i="49" s="1"/>
  <c r="F23" i="48"/>
  <c r="B23" i="48"/>
  <c r="G23" i="47" l="1"/>
  <c r="I23" i="47" s="1"/>
  <c r="D24" i="47"/>
  <c r="E24" i="47"/>
  <c r="F24" i="49"/>
  <c r="H24" i="49" s="1"/>
  <c r="B24" i="49"/>
  <c r="D24" i="48"/>
  <c r="E24" i="48"/>
  <c r="H23" i="48"/>
  <c r="G23" i="48"/>
  <c r="B24" i="47" l="1"/>
  <c r="F24" i="47"/>
  <c r="D25" i="49"/>
  <c r="E25" i="49"/>
  <c r="G24" i="49"/>
  <c r="I24" i="49" s="1"/>
  <c r="I23" i="48"/>
  <c r="F24" i="48"/>
  <c r="B24" i="48"/>
  <c r="D25" i="47" l="1"/>
  <c r="E25" i="47"/>
  <c r="G24" i="47"/>
  <c r="H24" i="47"/>
  <c r="F25" i="49"/>
  <c r="G25" i="49" s="1"/>
  <c r="B25" i="49"/>
  <c r="D25" i="48"/>
  <c r="E25" i="48"/>
  <c r="H24" i="48"/>
  <c r="G24" i="48"/>
  <c r="I24" i="47" l="1"/>
  <c r="F25" i="47"/>
  <c r="B25" i="47"/>
  <c r="I24" i="48"/>
  <c r="D26" i="49"/>
  <c r="E26" i="49"/>
  <c r="H25" i="49"/>
  <c r="I25" i="49" s="1"/>
  <c r="F25" i="48"/>
  <c r="B25" i="48"/>
  <c r="D26" i="47" l="1"/>
  <c r="E26" i="47"/>
  <c r="H25" i="47"/>
  <c r="G25" i="47"/>
  <c r="B26" i="49"/>
  <c r="F26" i="49"/>
  <c r="G26" i="49" s="1"/>
  <c r="D26" i="48"/>
  <c r="E26" i="48"/>
  <c r="G25" i="48"/>
  <c r="H25" i="48"/>
  <c r="I25" i="47" l="1"/>
  <c r="F26" i="47"/>
  <c r="B26" i="47"/>
  <c r="H26" i="47"/>
  <c r="D27" i="49"/>
  <c r="E27" i="49"/>
  <c r="H26" i="49"/>
  <c r="I26" i="49" s="1"/>
  <c r="I25" i="48"/>
  <c r="F26" i="48"/>
  <c r="H26" i="48" s="1"/>
  <c r="B26" i="48"/>
  <c r="G26" i="48" l="1"/>
  <c r="I26" i="48" s="1"/>
  <c r="D27" i="47"/>
  <c r="E27" i="47" s="1"/>
  <c r="G26" i="47"/>
  <c r="I26" i="47" s="1"/>
  <c r="F27" i="49"/>
  <c r="G27" i="49" s="1"/>
  <c r="B27" i="49"/>
  <c r="D27" i="48"/>
  <c r="E27" i="48"/>
  <c r="H27" i="49" l="1"/>
  <c r="I27" i="49" s="1"/>
  <c r="B27" i="47"/>
  <c r="F27" i="47"/>
  <c r="G27" i="47" s="1"/>
  <c r="D28" i="49"/>
  <c r="E28" i="49"/>
  <c r="F27" i="48"/>
  <c r="H27" i="48" s="1"/>
  <c r="B27" i="48"/>
  <c r="D28" i="47" l="1"/>
  <c r="E28" i="47" s="1"/>
  <c r="H27" i="47"/>
  <c r="I27" i="47" s="1"/>
  <c r="F28" i="49"/>
  <c r="H28" i="49" s="1"/>
  <c r="B28" i="49"/>
  <c r="D28" i="48"/>
  <c r="E28" i="48"/>
  <c r="G27" i="48"/>
  <c r="I27" i="48" s="1"/>
  <c r="G28" i="49" l="1"/>
  <c r="I28" i="49" s="1"/>
  <c r="F28" i="47"/>
  <c r="G28" i="47" s="1"/>
  <c r="B28" i="47"/>
  <c r="D29" i="49"/>
  <c r="E29" i="49"/>
  <c r="F28" i="48"/>
  <c r="H28" i="48" s="1"/>
  <c r="B28" i="48"/>
  <c r="H28" i="47" l="1"/>
  <c r="I28" i="47" s="1"/>
  <c r="D29" i="47"/>
  <c r="E29" i="47"/>
  <c r="G28" i="48"/>
  <c r="I28" i="48" s="1"/>
  <c r="B29" i="49"/>
  <c r="F29" i="49"/>
  <c r="D29" i="48"/>
  <c r="E29" i="48"/>
  <c r="F29" i="47" l="1"/>
  <c r="G29" i="47" s="1"/>
  <c r="B29" i="47"/>
  <c r="D30" i="49"/>
  <c r="E30" i="49"/>
  <c r="G29" i="49"/>
  <c r="H29" i="49"/>
  <c r="F29" i="48"/>
  <c r="B29" i="48"/>
  <c r="H29" i="47" l="1"/>
  <c r="I29" i="47" s="1"/>
  <c r="I29" i="49"/>
  <c r="D30" i="47"/>
  <c r="E30" i="47" s="1"/>
  <c r="F30" i="49"/>
  <c r="G30" i="49" s="1"/>
  <c r="B30" i="49"/>
  <c r="D30" i="48"/>
  <c r="E30" i="48"/>
  <c r="G29" i="48"/>
  <c r="H29" i="48"/>
  <c r="H30" i="49" l="1"/>
  <c r="F30" i="47"/>
  <c r="B30" i="47"/>
  <c r="I29" i="48"/>
  <c r="I30" i="49"/>
  <c r="D31" i="49"/>
  <c r="E31" i="49"/>
  <c r="F30" i="48"/>
  <c r="G30" i="48" s="1"/>
  <c r="B30" i="48"/>
  <c r="D31" i="47" l="1"/>
  <c r="E31" i="47"/>
  <c r="G30" i="47"/>
  <c r="H30" i="47"/>
  <c r="F31" i="49"/>
  <c r="H31" i="49" s="1"/>
  <c r="B31" i="49"/>
  <c r="D31" i="48"/>
  <c r="E31" i="48"/>
  <c r="H30" i="48"/>
  <c r="I30" i="48" s="1"/>
  <c r="I30" i="47" l="1"/>
  <c r="B31" i="47"/>
  <c r="F31" i="47"/>
  <c r="G31" i="47" s="1"/>
  <c r="G31" i="49"/>
  <c r="I31" i="49" s="1"/>
  <c r="D32" i="49"/>
  <c r="E32" i="49"/>
  <c r="F31" i="48"/>
  <c r="G31" i="48" s="1"/>
  <c r="B31" i="48"/>
  <c r="H31" i="48" l="1"/>
  <c r="I31" i="48" s="1"/>
  <c r="H31" i="47"/>
  <c r="I31" i="47" s="1"/>
  <c r="D32" i="47"/>
  <c r="E32" i="47" s="1"/>
  <c r="F32" i="49"/>
  <c r="H32" i="49" s="1"/>
  <c r="B32" i="49"/>
  <c r="D32" i="48"/>
  <c r="E32" i="48"/>
  <c r="B32" i="47" l="1"/>
  <c r="F32" i="47"/>
  <c r="G32" i="49"/>
  <c r="I32" i="49" s="1"/>
  <c r="D33" i="49"/>
  <c r="E33" i="49"/>
  <c r="F32" i="48"/>
  <c r="B32" i="48"/>
  <c r="D33" i="47" l="1"/>
  <c r="E33" i="47" s="1"/>
  <c r="G32" i="47"/>
  <c r="H32" i="47"/>
  <c r="F33" i="49"/>
  <c r="H33" i="49" s="1"/>
  <c r="B33" i="49"/>
  <c r="D33" i="48"/>
  <c r="E33" i="48"/>
  <c r="H32" i="48"/>
  <c r="G32" i="48"/>
  <c r="I32" i="47" l="1"/>
  <c r="G33" i="49"/>
  <c r="I33" i="49" s="1"/>
  <c r="B33" i="47"/>
  <c r="F33" i="47"/>
  <c r="H33" i="47" s="1"/>
  <c r="D34" i="49"/>
  <c r="E34" i="49"/>
  <c r="I32" i="48"/>
  <c r="F33" i="48"/>
  <c r="B33" i="48"/>
  <c r="G33" i="47" l="1"/>
  <c r="I33" i="47" s="1"/>
  <c r="D34" i="47"/>
  <c r="E34" i="47" s="1"/>
  <c r="B34" i="49"/>
  <c r="F34" i="49"/>
  <c r="H34" i="49" s="1"/>
  <c r="D34" i="48"/>
  <c r="E34" i="48"/>
  <c r="G33" i="48"/>
  <c r="H33" i="48"/>
  <c r="F34" i="47" l="1"/>
  <c r="H34" i="47" s="1"/>
  <c r="B34" i="47"/>
  <c r="D35" i="49"/>
  <c r="E35" i="49"/>
  <c r="G34" i="49"/>
  <c r="I34" i="49" s="1"/>
  <c r="I33" i="48"/>
  <c r="F34" i="48"/>
  <c r="H34" i="48" s="1"/>
  <c r="B34" i="48"/>
  <c r="D35" i="47" l="1"/>
  <c r="E35" i="47" s="1"/>
  <c r="G34" i="47"/>
  <c r="I34" i="47" s="1"/>
  <c r="F35" i="49"/>
  <c r="G35" i="49" s="1"/>
  <c r="B35" i="49"/>
  <c r="D35" i="48"/>
  <c r="E35" i="48"/>
  <c r="G34" i="48"/>
  <c r="I34" i="48" s="1"/>
  <c r="H35" i="49" l="1"/>
  <c r="I35" i="49" s="1"/>
  <c r="B35" i="47"/>
  <c r="F35" i="47"/>
  <c r="H35" i="47" s="1"/>
  <c r="D36" i="49"/>
  <c r="E36" i="49"/>
  <c r="F35" i="48"/>
  <c r="H35" i="48" s="1"/>
  <c r="B35" i="48"/>
  <c r="G35" i="47" l="1"/>
  <c r="I35" i="47" s="1"/>
  <c r="D36" i="47"/>
  <c r="E36" i="47" s="1"/>
  <c r="F36" i="49"/>
  <c r="H36" i="49" s="1"/>
  <c r="B36" i="49"/>
  <c r="D36" i="48"/>
  <c r="E36" i="48"/>
  <c r="G35" i="48"/>
  <c r="I35" i="48" s="1"/>
  <c r="F36" i="47" l="1"/>
  <c r="H36" i="47" s="1"/>
  <c r="B36" i="47"/>
  <c r="D37" i="49"/>
  <c r="E37" i="49"/>
  <c r="G36" i="49"/>
  <c r="I36" i="49" s="1"/>
  <c r="F36" i="48"/>
  <c r="G36" i="48" s="1"/>
  <c r="B36" i="48"/>
  <c r="G36" i="47" l="1"/>
  <c r="I36" i="47" s="1"/>
  <c r="D37" i="47"/>
  <c r="E37" i="47" s="1"/>
  <c r="B37" i="49"/>
  <c r="F37" i="49"/>
  <c r="G37" i="49" s="1"/>
  <c r="D37" i="48"/>
  <c r="E37" i="48"/>
  <c r="H36" i="48"/>
  <c r="I36" i="48" s="1"/>
  <c r="F37" i="47" l="1"/>
  <c r="B37" i="47"/>
  <c r="D38" i="49"/>
  <c r="E38" i="49"/>
  <c r="H37" i="49"/>
  <c r="I37" i="49" s="1"/>
  <c r="F37" i="48"/>
  <c r="H37" i="48" s="1"/>
  <c r="B37" i="48"/>
  <c r="D38" i="47" l="1"/>
  <c r="E38" i="47" s="1"/>
  <c r="G37" i="47"/>
  <c r="H37" i="47"/>
  <c r="F38" i="49"/>
  <c r="G38" i="49" s="1"/>
  <c r="B38" i="49"/>
  <c r="D38" i="48"/>
  <c r="E38" i="48"/>
  <c r="G37" i="48"/>
  <c r="I37" i="48" s="1"/>
  <c r="I37" i="47" l="1"/>
  <c r="F38" i="47"/>
  <c r="H38" i="47" s="1"/>
  <c r="B38" i="47"/>
  <c r="D39" i="49"/>
  <c r="E39" i="49"/>
  <c r="H38" i="49"/>
  <c r="I38" i="49" s="1"/>
  <c r="F38" i="48"/>
  <c r="H38" i="48" s="1"/>
  <c r="B38" i="48"/>
  <c r="D39" i="47" l="1"/>
  <c r="E39" i="47" s="1"/>
  <c r="G38" i="47"/>
  <c r="I38" i="47" s="1"/>
  <c r="F39" i="49"/>
  <c r="H39" i="49" s="1"/>
  <c r="B39" i="49"/>
  <c r="D39" i="48"/>
  <c r="E39" i="48"/>
  <c r="G38" i="48"/>
  <c r="I38" i="48" s="1"/>
  <c r="G39" i="49" l="1"/>
  <c r="I39" i="49" s="1"/>
  <c r="F39" i="47"/>
  <c r="B39" i="47"/>
  <c r="D40" i="49"/>
  <c r="E40" i="49"/>
  <c r="F39" i="48"/>
  <c r="G39" i="48" s="1"/>
  <c r="B39" i="48"/>
  <c r="D40" i="47" l="1"/>
  <c r="E40" i="47" s="1"/>
  <c r="G39" i="47"/>
  <c r="H39" i="47"/>
  <c r="F40" i="49"/>
  <c r="H40" i="49" s="1"/>
  <c r="B40" i="49"/>
  <c r="D40" i="48"/>
  <c r="E40" i="48"/>
  <c r="H39" i="48"/>
  <c r="I39" i="48" s="1"/>
  <c r="I39" i="47" l="1"/>
  <c r="B40" i="47"/>
  <c r="F40" i="47"/>
  <c r="G40" i="47" s="1"/>
  <c r="D41" i="49"/>
  <c r="E41" i="49"/>
  <c r="G40" i="49"/>
  <c r="I40" i="49" s="1"/>
  <c r="F40" i="48"/>
  <c r="G40" i="48" s="1"/>
  <c r="B40" i="48"/>
  <c r="D41" i="47" l="1"/>
  <c r="E41" i="47" s="1"/>
  <c r="H40" i="48"/>
  <c r="I40" i="48" s="1"/>
  <c r="H40" i="47"/>
  <c r="I40" i="47" s="1"/>
  <c r="F41" i="49"/>
  <c r="B41" i="49"/>
  <c r="D41" i="48"/>
  <c r="E41" i="48"/>
  <c r="F41" i="47" l="1"/>
  <c r="G41" i="47" s="1"/>
  <c r="B41" i="47"/>
  <c r="H41" i="47"/>
  <c r="D42" i="49"/>
  <c r="E42" i="49"/>
  <c r="G41" i="49"/>
  <c r="H41" i="49"/>
  <c r="F41" i="48"/>
  <c r="H41" i="48" s="1"/>
  <c r="B41" i="48"/>
  <c r="I41" i="47" l="1"/>
  <c r="I41" i="49"/>
  <c r="D42" i="47"/>
  <c r="E42" i="47" s="1"/>
  <c r="B42" i="49"/>
  <c r="F42" i="49"/>
  <c r="G42" i="49" s="1"/>
  <c r="D42" i="48"/>
  <c r="E42" i="48"/>
  <c r="G41" i="48"/>
  <c r="I41" i="48" s="1"/>
  <c r="H42" i="49" l="1"/>
  <c r="I42" i="49" s="1"/>
  <c r="F42" i="47"/>
  <c r="B42" i="47"/>
  <c r="D43" i="49"/>
  <c r="E43" i="49" s="1"/>
  <c r="F42" i="48"/>
  <c r="G42" i="48" s="1"/>
  <c r="B42" i="48"/>
  <c r="H42" i="48" l="1"/>
  <c r="I42" i="48" s="1"/>
  <c r="D43" i="47"/>
  <c r="E43" i="47" s="1"/>
  <c r="G42" i="47"/>
  <c r="H42" i="47"/>
  <c r="F43" i="49"/>
  <c r="G43" i="49" s="1"/>
  <c r="B43" i="49"/>
  <c r="D43" i="48"/>
  <c r="E43" i="48"/>
  <c r="B43" i="47" l="1"/>
  <c r="F43" i="47"/>
  <c r="I42" i="47"/>
  <c r="D44" i="49"/>
  <c r="E44" i="49"/>
  <c r="H43" i="49"/>
  <c r="I43" i="49" s="1"/>
  <c r="F43" i="48"/>
  <c r="H43" i="48" s="1"/>
  <c r="B43" i="48"/>
  <c r="D44" i="47" l="1"/>
  <c r="E44" i="47" s="1"/>
  <c r="G43" i="47"/>
  <c r="H43" i="47"/>
  <c r="B44" i="49"/>
  <c r="F44" i="49"/>
  <c r="H44" i="49" s="1"/>
  <c r="G43" i="48"/>
  <c r="I43" i="48" s="1"/>
  <c r="D44" i="48"/>
  <c r="E44" i="48"/>
  <c r="I43" i="47" l="1"/>
  <c r="G44" i="49"/>
  <c r="I44" i="49" s="1"/>
  <c r="F44" i="47"/>
  <c r="G44" i="47" s="1"/>
  <c r="B44" i="47"/>
  <c r="D45" i="49"/>
  <c r="E45" i="49"/>
  <c r="B44" i="48"/>
  <c r="F44" i="48"/>
  <c r="D45" i="47" l="1"/>
  <c r="E45" i="47" s="1"/>
  <c r="H44" i="47"/>
  <c r="I44" i="47" s="1"/>
  <c r="B45" i="49"/>
  <c r="F45" i="49"/>
  <c r="D45" i="48"/>
  <c r="E45" i="48"/>
  <c r="H44" i="48"/>
  <c r="G44" i="48"/>
  <c r="F45" i="47" l="1"/>
  <c r="G45" i="47" s="1"/>
  <c r="B45" i="47"/>
  <c r="D46" i="49"/>
  <c r="E46" i="49"/>
  <c r="I44" i="48"/>
  <c r="G45" i="49"/>
  <c r="H45" i="49"/>
  <c r="F45" i="48"/>
  <c r="G45" i="48" s="1"/>
  <c r="B45" i="48"/>
  <c r="H45" i="47" l="1"/>
  <c r="I45" i="47" s="1"/>
  <c r="H45" i="48"/>
  <c r="D46" i="47"/>
  <c r="E46" i="47" s="1"/>
  <c r="I45" i="49"/>
  <c r="B46" i="49"/>
  <c r="F46" i="49"/>
  <c r="G46" i="49" s="1"/>
  <c r="I45" i="48"/>
  <c r="D46" i="48"/>
  <c r="E46" i="48"/>
  <c r="F46" i="47" l="1"/>
  <c r="H46" i="47" s="1"/>
  <c r="B46" i="47"/>
  <c r="D47" i="49"/>
  <c r="E47" i="49"/>
  <c r="H46" i="49"/>
  <c r="I46" i="49" s="1"/>
  <c r="B46" i="48"/>
  <c r="F46" i="48"/>
  <c r="H46" i="48" s="1"/>
  <c r="G46" i="47" l="1"/>
  <c r="I46" i="47" s="1"/>
  <c r="G46" i="48"/>
  <c r="I46" i="48" s="1"/>
  <c r="D47" i="47"/>
  <c r="E47" i="47" s="1"/>
  <c r="F47" i="49"/>
  <c r="B47" i="49"/>
  <c r="D47" i="48"/>
  <c r="E47" i="48"/>
  <c r="F47" i="47" l="1"/>
  <c r="H47" i="47" s="1"/>
  <c r="B47" i="47"/>
  <c r="D48" i="49"/>
  <c r="E48" i="49" s="1"/>
  <c r="H47" i="49"/>
  <c r="G47" i="49"/>
  <c r="F47" i="48"/>
  <c r="B47" i="48"/>
  <c r="D48" i="47" l="1"/>
  <c r="E48" i="47" s="1"/>
  <c r="G47" i="47"/>
  <c r="I47" i="47" s="1"/>
  <c r="I47" i="49"/>
  <c r="B48" i="49"/>
  <c r="F48" i="49"/>
  <c r="D48" i="48"/>
  <c r="E48" i="48"/>
  <c r="G47" i="48"/>
  <c r="H47" i="48"/>
  <c r="I47" i="48" l="1"/>
  <c r="B48" i="47"/>
  <c r="F48" i="47"/>
  <c r="G48" i="47" s="1"/>
  <c r="D49" i="49"/>
  <c r="E49" i="49" s="1"/>
  <c r="H48" i="49"/>
  <c r="G48" i="49"/>
  <c r="B48" i="48"/>
  <c r="F48" i="48"/>
  <c r="H48" i="48" s="1"/>
  <c r="I48" i="49" l="1"/>
  <c r="D49" i="47"/>
  <c r="E49" i="47" s="1"/>
  <c r="H48" i="47"/>
  <c r="I48" i="47" s="1"/>
  <c r="F49" i="49"/>
  <c r="H49" i="49" s="1"/>
  <c r="B49" i="49"/>
  <c r="D49" i="48"/>
  <c r="E49" i="48"/>
  <c r="G48" i="48"/>
  <c r="I48" i="48" s="1"/>
  <c r="G49" i="49" l="1"/>
  <c r="I49" i="49" s="1"/>
  <c r="F49" i="47"/>
  <c r="G49" i="47" s="1"/>
  <c r="B49" i="47"/>
  <c r="D50" i="49"/>
  <c r="E50" i="49"/>
  <c r="F49" i="48"/>
  <c r="H49" i="48" s="1"/>
  <c r="B49" i="48"/>
  <c r="H49" i="47" l="1"/>
  <c r="I49" i="47" s="1"/>
  <c r="D50" i="47"/>
  <c r="E50" i="47" s="1"/>
  <c r="F50" i="49"/>
  <c r="G50" i="49" s="1"/>
  <c r="B50" i="49"/>
  <c r="G49" i="48"/>
  <c r="I49" i="48" s="1"/>
  <c r="D50" i="48"/>
  <c r="E50" i="48"/>
  <c r="H50" i="49" l="1"/>
  <c r="I50" i="49" s="1"/>
  <c r="F50" i="47"/>
  <c r="H50" i="47" s="1"/>
  <c r="B50" i="47"/>
  <c r="D51" i="49"/>
  <c r="E51" i="49"/>
  <c r="F50" i="48"/>
  <c r="H50" i="48" s="1"/>
  <c r="B50" i="48"/>
  <c r="D51" i="47" l="1"/>
  <c r="E51" i="47" s="1"/>
  <c r="G50" i="47"/>
  <c r="I50" i="47" s="1"/>
  <c r="G50" i="48"/>
  <c r="I50" i="48" s="1"/>
  <c r="F51" i="49"/>
  <c r="H51" i="49" s="1"/>
  <c r="B51" i="49"/>
  <c r="D51" i="48"/>
  <c r="E51" i="48"/>
  <c r="B51" i="47" l="1"/>
  <c r="F51" i="47"/>
  <c r="G51" i="47" s="1"/>
  <c r="D52" i="49"/>
  <c r="E52" i="49"/>
  <c r="G51" i="49"/>
  <c r="I51" i="49" s="1"/>
  <c r="F51" i="48"/>
  <c r="H51" i="48" s="1"/>
  <c r="B51" i="48"/>
  <c r="H51" i="47" l="1"/>
  <c r="I51" i="47" s="1"/>
  <c r="D52" i="47"/>
  <c r="E52" i="47" s="1"/>
  <c r="B52" i="49"/>
  <c r="F52" i="49"/>
  <c r="H52" i="49" s="1"/>
  <c r="D52" i="48"/>
  <c r="E52" i="48"/>
  <c r="G51" i="48"/>
  <c r="I51" i="48" s="1"/>
  <c r="F52" i="47" l="1"/>
  <c r="G52" i="47" s="1"/>
  <c r="B52" i="47"/>
  <c r="D53" i="49"/>
  <c r="E53" i="49"/>
  <c r="G52" i="49"/>
  <c r="I52" i="49" s="1"/>
  <c r="F52" i="48"/>
  <c r="H52" i="48" s="1"/>
  <c r="B52" i="48"/>
  <c r="H52" i="47" l="1"/>
  <c r="I52" i="47" s="1"/>
  <c r="D53" i="47"/>
  <c r="E53" i="47" s="1"/>
  <c r="F53" i="49"/>
  <c r="H53" i="49" s="1"/>
  <c r="B53" i="49"/>
  <c r="D53" i="48"/>
  <c r="E53" i="48"/>
  <c r="G52" i="48"/>
  <c r="I52" i="48" s="1"/>
  <c r="G53" i="49" l="1"/>
  <c r="I53" i="49" s="1"/>
  <c r="F53" i="47"/>
  <c r="H53" i="47" s="1"/>
  <c r="B53" i="47"/>
  <c r="D54" i="49"/>
  <c r="E54" i="49"/>
  <c r="F53" i="48"/>
  <c r="H53" i="48" s="1"/>
  <c r="B53" i="48"/>
  <c r="G53" i="47" l="1"/>
  <c r="I53" i="47" s="1"/>
  <c r="D54" i="47"/>
  <c r="E54" i="47" s="1"/>
  <c r="F54" i="49"/>
  <c r="H54" i="49" s="1"/>
  <c r="B54" i="49"/>
  <c r="D54" i="48"/>
  <c r="E54" i="48"/>
  <c r="G53" i="48"/>
  <c r="I53" i="48" s="1"/>
  <c r="F54" i="47" l="1"/>
  <c r="H54" i="47" s="1"/>
  <c r="B54" i="47"/>
  <c r="G54" i="49"/>
  <c r="I54" i="49" s="1"/>
  <c r="D55" i="49"/>
  <c r="E55" i="49"/>
  <c r="F54" i="48"/>
  <c r="H54" i="48" s="1"/>
  <c r="B54" i="48"/>
  <c r="G54" i="48" l="1"/>
  <c r="D55" i="47"/>
  <c r="E55" i="47" s="1"/>
  <c r="G54" i="47"/>
  <c r="I54" i="47" s="1"/>
  <c r="F55" i="49"/>
  <c r="H55" i="49" s="1"/>
  <c r="B55" i="49"/>
  <c r="I54" i="48"/>
  <c r="D55" i="48"/>
  <c r="E55" i="48"/>
  <c r="G55" i="49" l="1"/>
  <c r="F55" i="47"/>
  <c r="B55" i="47"/>
  <c r="I55" i="49"/>
  <c r="D56" i="49"/>
  <c r="E56" i="49"/>
  <c r="F55" i="48"/>
  <c r="B55" i="48"/>
  <c r="D56" i="47" l="1"/>
  <c r="E56" i="47" s="1"/>
  <c r="G55" i="47"/>
  <c r="H55" i="47"/>
  <c r="F56" i="49"/>
  <c r="H56" i="49" s="1"/>
  <c r="B56" i="49"/>
  <c r="D56" i="48"/>
  <c r="E56" i="48"/>
  <c r="G55" i="48"/>
  <c r="H55" i="48"/>
  <c r="I55" i="47" l="1"/>
  <c r="G56" i="49"/>
  <c r="I56" i="49" s="1"/>
  <c r="B56" i="47"/>
  <c r="F56" i="47"/>
  <c r="G56" i="47" s="1"/>
  <c r="I55" i="48"/>
  <c r="D57" i="49"/>
  <c r="E57" i="49"/>
  <c r="F56" i="48"/>
  <c r="H56" i="48" s="1"/>
  <c r="B56" i="48"/>
  <c r="D57" i="47" l="1"/>
  <c r="E57" i="47" s="1"/>
  <c r="H56" i="47"/>
  <c r="I56" i="47" s="1"/>
  <c r="B57" i="49"/>
  <c r="F57" i="49"/>
  <c r="G57" i="49" s="1"/>
  <c r="D57" i="48"/>
  <c r="E57" i="48"/>
  <c r="G56" i="48"/>
  <c r="I56" i="48" s="1"/>
  <c r="H57" i="49" l="1"/>
  <c r="I57" i="49" s="1"/>
  <c r="F57" i="47"/>
  <c r="B57" i="47"/>
  <c r="D58" i="49"/>
  <c r="E58" i="49" s="1"/>
  <c r="F57" i="48"/>
  <c r="B57" i="48"/>
  <c r="D58" i="47" l="1"/>
  <c r="E58" i="47" s="1"/>
  <c r="H57" i="47"/>
  <c r="G57" i="47"/>
  <c r="F58" i="49"/>
  <c r="B58" i="49"/>
  <c r="D58" i="48"/>
  <c r="E58" i="48"/>
  <c r="G57" i="48"/>
  <c r="H57" i="48"/>
  <c r="I57" i="47" l="1"/>
  <c r="I57" i="48"/>
  <c r="F58" i="47"/>
  <c r="H58" i="47" s="1"/>
  <c r="B58" i="47"/>
  <c r="D59" i="49"/>
  <c r="E59" i="49" s="1"/>
  <c r="H58" i="49"/>
  <c r="G58" i="49"/>
  <c r="F58" i="48"/>
  <c r="H58" i="48" s="1"/>
  <c r="B58" i="48"/>
  <c r="G58" i="48" l="1"/>
  <c r="D59" i="47"/>
  <c r="E59" i="47" s="1"/>
  <c r="G58" i="47"/>
  <c r="I58" i="47" s="1"/>
  <c r="I58" i="49"/>
  <c r="F59" i="49"/>
  <c r="H59" i="49" s="1"/>
  <c r="B59" i="49"/>
  <c r="I58" i="48"/>
  <c r="D59" i="48"/>
  <c r="B59" i="47" l="1"/>
  <c r="F59" i="47"/>
  <c r="H59" i="47" s="1"/>
  <c r="D60" i="49"/>
  <c r="E60" i="49" s="1"/>
  <c r="G59" i="49"/>
  <c r="I59" i="49" s="1"/>
  <c r="B59" i="48"/>
  <c r="E59" i="48"/>
  <c r="F59" i="48" s="1"/>
  <c r="G59" i="47" l="1"/>
  <c r="I59" i="47" s="1"/>
  <c r="D60" i="47"/>
  <c r="B60" i="49"/>
  <c r="F60" i="49"/>
  <c r="H60" i="49" s="1"/>
  <c r="D60" i="48"/>
  <c r="E60" i="48" s="1"/>
  <c r="H59" i="48"/>
  <c r="G59" i="48"/>
  <c r="B60" i="47" l="1"/>
  <c r="E60" i="47"/>
  <c r="F60" i="47" s="1"/>
  <c r="D61" i="49"/>
  <c r="G60" i="49"/>
  <c r="I60" i="49" s="1"/>
  <c r="I59" i="48"/>
  <c r="F60" i="48"/>
  <c r="B60" i="48"/>
  <c r="D61" i="47" l="1"/>
  <c r="E61" i="47" s="1"/>
  <c r="H60" i="47"/>
  <c r="G60" i="47"/>
  <c r="B61" i="49"/>
  <c r="E61" i="49"/>
  <c r="F61" i="49" s="1"/>
  <c r="D61" i="48"/>
  <c r="E61" i="48" s="1"/>
  <c r="G60" i="48"/>
  <c r="H60" i="48"/>
  <c r="I60" i="47" l="1"/>
  <c r="F61" i="47"/>
  <c r="H61" i="47" s="1"/>
  <c r="B61" i="47"/>
  <c r="D62" i="49"/>
  <c r="E62" i="49" s="1"/>
  <c r="G61" i="49"/>
  <c r="H61" i="49"/>
  <c r="I60" i="48"/>
  <c r="F61" i="48"/>
  <c r="G61" i="48" s="1"/>
  <c r="B61" i="48"/>
  <c r="H61" i="48" l="1"/>
  <c r="I61" i="48" s="1"/>
  <c r="D62" i="47"/>
  <c r="E62" i="47" s="1"/>
  <c r="I61" i="49"/>
  <c r="G61" i="47"/>
  <c r="I61" i="47" s="1"/>
  <c r="F62" i="49"/>
  <c r="B62" i="49"/>
  <c r="D62" i="48"/>
  <c r="F62" i="47" l="1"/>
  <c r="H62" i="47" s="1"/>
  <c r="B62" i="47"/>
  <c r="D63" i="49"/>
  <c r="E63" i="49" s="1"/>
  <c r="G62" i="49"/>
  <c r="H62" i="49"/>
  <c r="B62" i="48"/>
  <c r="E62" i="48"/>
  <c r="F62" i="48" s="1"/>
  <c r="I62" i="49" l="1"/>
  <c r="D63" i="47"/>
  <c r="E63" i="47" s="1"/>
  <c r="G62" i="47"/>
  <c r="I62" i="47" s="1"/>
  <c r="F63" i="49"/>
  <c r="H63" i="49" s="1"/>
  <c r="B63" i="49"/>
  <c r="D63" i="48"/>
  <c r="E63" i="48" s="1"/>
  <c r="G62" i="48"/>
  <c r="H62" i="48"/>
  <c r="G63" i="49" l="1"/>
  <c r="I63" i="49" s="1"/>
  <c r="I62" i="48"/>
  <c r="F63" i="47"/>
  <c r="H63" i="47" s="1"/>
  <c r="B63" i="47"/>
  <c r="D64" i="49"/>
  <c r="F63" i="48"/>
  <c r="H63" i="48" s="1"/>
  <c r="B63" i="48"/>
  <c r="G63" i="47" l="1"/>
  <c r="I63" i="47" s="1"/>
  <c r="D64" i="47"/>
  <c r="E64" i="47" s="1"/>
  <c r="B64" i="49"/>
  <c r="E64" i="49"/>
  <c r="F64" i="49" s="1"/>
  <c r="D64" i="48"/>
  <c r="E64" i="48" s="1"/>
  <c r="G63" i="48"/>
  <c r="I63" i="48" s="1"/>
  <c r="B64" i="47" l="1"/>
  <c r="F64" i="47"/>
  <c r="H64" i="47" s="1"/>
  <c r="D65" i="49"/>
  <c r="E65" i="49" s="1"/>
  <c r="H64" i="49"/>
  <c r="G64" i="49"/>
  <c r="F64" i="48"/>
  <c r="H64" i="48" s="1"/>
  <c r="B64" i="48"/>
  <c r="D65" i="47" l="1"/>
  <c r="E65" i="47" s="1"/>
  <c r="G64" i="47"/>
  <c r="I64" i="47" s="1"/>
  <c r="I64" i="49"/>
  <c r="B65" i="49"/>
  <c r="F65" i="49"/>
  <c r="G65" i="49" s="1"/>
  <c r="D65" i="48"/>
  <c r="E65" i="48" s="1"/>
  <c r="G64" i="48"/>
  <c r="I64" i="48" s="1"/>
  <c r="F65" i="47" l="1"/>
  <c r="G65" i="47" s="1"/>
  <c r="B65" i="47"/>
  <c r="D66" i="49"/>
  <c r="E66" i="49" s="1"/>
  <c r="H65" i="49"/>
  <c r="I65" i="49" s="1"/>
  <c r="F65" i="48"/>
  <c r="H65" i="48" s="1"/>
  <c r="B65" i="48"/>
  <c r="H65" i="47" l="1"/>
  <c r="I65" i="47" s="1"/>
  <c r="D66" i="47"/>
  <c r="F66" i="49"/>
  <c r="G66" i="49" s="1"/>
  <c r="B66" i="49"/>
  <c r="G65" i="48"/>
  <c r="I65" i="48" s="1"/>
  <c r="D66" i="48"/>
  <c r="E66" i="48" s="1"/>
  <c r="B66" i="47" l="1"/>
  <c r="E66" i="47"/>
  <c r="F66" i="47" s="1"/>
  <c r="H66" i="49"/>
  <c r="I66" i="49" s="1"/>
  <c r="D67" i="49"/>
  <c r="F66" i="48"/>
  <c r="H66" i="48" s="1"/>
  <c r="B66" i="48"/>
  <c r="D67" i="47" l="1"/>
  <c r="E67" i="47" s="1"/>
  <c r="G66" i="47"/>
  <c r="H66" i="47"/>
  <c r="B67" i="49"/>
  <c r="G66" i="48"/>
  <c r="I66" i="48" s="1"/>
  <c r="E67" i="49"/>
  <c r="F67" i="49" s="1"/>
  <c r="D67" i="48"/>
  <c r="I66" i="47" l="1"/>
  <c r="B67" i="47"/>
  <c r="F67" i="47"/>
  <c r="D68" i="49"/>
  <c r="E68" i="49" s="1"/>
  <c r="G67" i="49"/>
  <c r="H67" i="49"/>
  <c r="B67" i="48"/>
  <c r="E67" i="48"/>
  <c r="F67" i="48" s="1"/>
  <c r="I67" i="49" l="1"/>
  <c r="D68" i="47"/>
  <c r="E68" i="47" s="1"/>
  <c r="G67" i="47"/>
  <c r="H67" i="47"/>
  <c r="B68" i="49"/>
  <c r="F68" i="49"/>
  <c r="G68" i="49" s="1"/>
  <c r="D68" i="48"/>
  <c r="E68" i="48" s="1"/>
  <c r="H67" i="48"/>
  <c r="G67" i="48"/>
  <c r="I67" i="47" l="1"/>
  <c r="F68" i="47"/>
  <c r="G68" i="47" s="1"/>
  <c r="B68" i="47"/>
  <c r="D69" i="49"/>
  <c r="E69" i="49" s="1"/>
  <c r="H68" i="49"/>
  <c r="I68" i="49" s="1"/>
  <c r="I67" i="48"/>
  <c r="F68" i="48"/>
  <c r="B68" i="48"/>
  <c r="D69" i="47" l="1"/>
  <c r="E69" i="47" s="1"/>
  <c r="H68" i="47"/>
  <c r="I68" i="47" s="1"/>
  <c r="F69" i="49"/>
  <c r="H69" i="49" s="1"/>
  <c r="B69" i="49"/>
  <c r="D69" i="48"/>
  <c r="E69" i="48" s="1"/>
  <c r="G68" i="48"/>
  <c r="H68" i="48"/>
  <c r="G69" i="49" l="1"/>
  <c r="I69" i="49" s="1"/>
  <c r="F69" i="47"/>
  <c r="H69" i="47" s="1"/>
  <c r="B69" i="47"/>
  <c r="D70" i="49"/>
  <c r="E70" i="49" s="1"/>
  <c r="I68" i="48"/>
  <c r="F69" i="48"/>
  <c r="H69" i="48" s="1"/>
  <c r="B69" i="48"/>
  <c r="G69" i="47" l="1"/>
  <c r="I69" i="47" s="1"/>
  <c r="D70" i="47"/>
  <c r="E70" i="47" s="1"/>
  <c r="F70" i="49"/>
  <c r="G70" i="49" s="1"/>
  <c r="B70" i="49"/>
  <c r="G69" i="48"/>
  <c r="I69" i="48" s="1"/>
  <c r="D70" i="48"/>
  <c r="E70" i="48" s="1"/>
  <c r="H70" i="49" l="1"/>
  <c r="F70" i="47"/>
  <c r="B70" i="47"/>
  <c r="H70" i="47"/>
  <c r="I70" i="49"/>
  <c r="D71" i="49"/>
  <c r="E71" i="49" s="1"/>
  <c r="F70" i="48"/>
  <c r="H70" i="48" s="1"/>
  <c r="B70" i="48"/>
  <c r="D71" i="47" l="1"/>
  <c r="E71" i="47" s="1"/>
  <c r="G70" i="47"/>
  <c r="I70" i="47" s="1"/>
  <c r="F71" i="49"/>
  <c r="G71" i="49" s="1"/>
  <c r="B71" i="49"/>
  <c r="D71" i="48"/>
  <c r="E71" i="48" s="1"/>
  <c r="G70" i="48"/>
  <c r="I70" i="48" s="1"/>
  <c r="H71" i="49" l="1"/>
  <c r="I71" i="49" s="1"/>
  <c r="F71" i="47"/>
  <c r="G71" i="47" s="1"/>
  <c r="B71" i="47"/>
  <c r="D72" i="49"/>
  <c r="E72" i="49" s="1"/>
  <c r="E73" i="49" s="1"/>
  <c r="F71" i="48"/>
  <c r="G71" i="48" s="1"/>
  <c r="B71" i="48"/>
  <c r="D72" i="47" l="1"/>
  <c r="E72" i="47" s="1"/>
  <c r="E73" i="47" s="1"/>
  <c r="H71" i="47"/>
  <c r="I71" i="47" s="1"/>
  <c r="B72" i="49"/>
  <c r="F72" i="49"/>
  <c r="G72" i="49" s="1"/>
  <c r="G73" i="49" s="1"/>
  <c r="D72" i="48"/>
  <c r="E72" i="48" s="1"/>
  <c r="E73" i="48" s="1"/>
  <c r="H71" i="48"/>
  <c r="I71" i="48" s="1"/>
  <c r="B72" i="47" l="1"/>
  <c r="F72" i="47"/>
  <c r="H72" i="47" s="1"/>
  <c r="H72" i="49"/>
  <c r="F72" i="48"/>
  <c r="H72" i="48" s="1"/>
  <c r="B72" i="48"/>
  <c r="J96" i="47"/>
  <c r="E100" i="47" l="1"/>
  <c r="F100" i="47" s="1"/>
  <c r="E101" i="47" s="1"/>
  <c r="H73" i="47"/>
  <c r="G72" i="47"/>
  <c r="G73" i="47" s="1"/>
  <c r="J96" i="48"/>
  <c r="J96" i="49"/>
  <c r="I72" i="49"/>
  <c r="I73" i="49" s="1"/>
  <c r="H73" i="49"/>
  <c r="H73" i="48"/>
  <c r="G72" i="48"/>
  <c r="G73" i="48" s="1"/>
  <c r="E100" i="49" l="1"/>
  <c r="F100" i="49" s="1"/>
  <c r="E100" i="48"/>
  <c r="F100" i="48" s="1"/>
  <c r="D101" i="47"/>
  <c r="G100" i="47"/>
  <c r="I72" i="47"/>
  <c r="I73" i="47" s="1"/>
  <c r="I72" i="48"/>
  <c r="I73" i="48" s="1"/>
  <c r="D101" i="48" l="1"/>
  <c r="B101" i="48" s="1"/>
  <c r="G100" i="48"/>
  <c r="H100" i="47"/>
  <c r="I100" i="47"/>
  <c r="F101" i="47"/>
  <c r="B101" i="47"/>
  <c r="E101" i="48"/>
  <c r="F101" i="48" s="1"/>
  <c r="D101" i="49"/>
  <c r="G100" i="49"/>
  <c r="J100" i="47" l="1"/>
  <c r="E101" i="49"/>
  <c r="F101" i="49" s="1"/>
  <c r="B101" i="49"/>
  <c r="D102" i="48"/>
  <c r="G101" i="48"/>
  <c r="H100" i="48"/>
  <c r="I100" i="48"/>
  <c r="J100" i="48" s="1"/>
  <c r="H100" i="49"/>
  <c r="I100" i="49"/>
  <c r="D102" i="47"/>
  <c r="G101" i="47"/>
  <c r="E102" i="48" l="1"/>
  <c r="F102" i="48" s="1"/>
  <c r="B102" i="48"/>
  <c r="E102" i="47"/>
  <c r="F102" i="47" s="1"/>
  <c r="B102" i="47"/>
  <c r="G101" i="49"/>
  <c r="D102" i="49"/>
  <c r="H101" i="47"/>
  <c r="I101" i="47"/>
  <c r="J100" i="49"/>
  <c r="H101" i="48"/>
  <c r="I101" i="48"/>
  <c r="J101" i="47" l="1"/>
  <c r="D103" i="47"/>
  <c r="B103" i="47" s="1"/>
  <c r="G102" i="47"/>
  <c r="E103" i="47"/>
  <c r="E102" i="49"/>
  <c r="F102" i="49" s="1"/>
  <c r="B102" i="49"/>
  <c r="D103" i="48"/>
  <c r="G102" i="48"/>
  <c r="H101" i="49"/>
  <c r="I101" i="49"/>
  <c r="J101" i="48"/>
  <c r="J101" i="49" l="1"/>
  <c r="F103" i="47"/>
  <c r="D104" i="47" s="1"/>
  <c r="G102" i="49"/>
  <c r="D103" i="49"/>
  <c r="B103" i="49" s="1"/>
  <c r="E103" i="49"/>
  <c r="H102" i="48"/>
  <c r="I102" i="48"/>
  <c r="G103" i="47"/>
  <c r="H102" i="47"/>
  <c r="I102" i="47"/>
  <c r="E103" i="48"/>
  <c r="F103" i="48" s="1"/>
  <c r="B103" i="48"/>
  <c r="F103" i="49" l="1"/>
  <c r="D104" i="48"/>
  <c r="G103" i="48"/>
  <c r="G103" i="49"/>
  <c r="D104" i="49"/>
  <c r="E104" i="47"/>
  <c r="F104" i="47" s="1"/>
  <c r="B104" i="47"/>
  <c r="I103" i="47"/>
  <c r="H103" i="47"/>
  <c r="J102" i="47"/>
  <c r="J102" i="48"/>
  <c r="H102" i="49"/>
  <c r="I102" i="49"/>
  <c r="J103" i="47" l="1"/>
  <c r="H103" i="48"/>
  <c r="I103" i="48"/>
  <c r="E104" i="49"/>
  <c r="F104" i="49" s="1"/>
  <c r="B104" i="49"/>
  <c r="H103" i="49"/>
  <c r="I103" i="49"/>
  <c r="J103" i="49" s="1"/>
  <c r="G104" i="47"/>
  <c r="D105" i="47"/>
  <c r="J102" i="49"/>
  <c r="E104" i="48"/>
  <c r="F104" i="48" s="1"/>
  <c r="B104" i="48"/>
  <c r="J103" i="48" l="1"/>
  <c r="H104" i="47"/>
  <c r="I104" i="47"/>
  <c r="G104" i="49"/>
  <c r="D105" i="49"/>
  <c r="B105" i="49" s="1"/>
  <c r="E105" i="49"/>
  <c r="D105" i="48"/>
  <c r="G104" i="48"/>
  <c r="E105" i="47"/>
  <c r="F105" i="47" s="1"/>
  <c r="B105" i="47"/>
  <c r="J104" i="47" l="1"/>
  <c r="D106" i="47"/>
  <c r="B106" i="47" s="1"/>
  <c r="G105" i="47"/>
  <c r="E106" i="47"/>
  <c r="H104" i="49"/>
  <c r="I104" i="49"/>
  <c r="E105" i="48"/>
  <c r="F105" i="48" s="1"/>
  <c r="B105" i="48"/>
  <c r="H104" i="48"/>
  <c r="I104" i="48"/>
  <c r="F105" i="49"/>
  <c r="F87" i="2"/>
  <c r="F86" i="2"/>
  <c r="J104" i="48" l="1"/>
  <c r="F106" i="47"/>
  <c r="G106" i="47" s="1"/>
  <c r="D106" i="48"/>
  <c r="G105" i="48"/>
  <c r="F88" i="2"/>
  <c r="F89" i="2" s="1"/>
  <c r="F91" i="2" s="1"/>
  <c r="F92" i="2" s="1"/>
  <c r="F93" i="2" s="1"/>
  <c r="H105" i="47"/>
  <c r="I105" i="47"/>
  <c r="G105" i="49"/>
  <c r="D106" i="49"/>
  <c r="E106" i="49"/>
  <c r="J104" i="49"/>
  <c r="D107" i="47" l="1"/>
  <c r="J105" i="47"/>
  <c r="D95" i="38"/>
  <c r="J96" i="38" s="1"/>
  <c r="D95" i="41"/>
  <c r="J96" i="41" s="1"/>
  <c r="D95" i="9"/>
  <c r="J96" i="9" s="1"/>
  <c r="D95" i="29"/>
  <c r="J96" i="29" s="1"/>
  <c r="D95" i="28"/>
  <c r="J96" i="28" s="1"/>
  <c r="D95" i="31"/>
  <c r="J96" i="31" s="1"/>
  <c r="D95" i="37"/>
  <c r="J96" i="37" s="1"/>
  <c r="D95" i="45"/>
  <c r="J96" i="45" s="1"/>
  <c r="D95" i="7"/>
  <c r="J96" i="7" s="1"/>
  <c r="D95" i="43"/>
  <c r="J96" i="43" s="1"/>
  <c r="D95" i="39"/>
  <c r="J96" i="39" s="1"/>
  <c r="D95" i="11"/>
  <c r="J96" i="11" s="1"/>
  <c r="D95" i="44"/>
  <c r="J96" i="44" s="1"/>
  <c r="D95" i="46"/>
  <c r="J96" i="46" s="1"/>
  <c r="D95" i="25"/>
  <c r="J96" i="25" s="1"/>
  <c r="D95" i="24"/>
  <c r="J96" i="24" s="1"/>
  <c r="D95" i="10"/>
  <c r="J96" i="10" s="1"/>
  <c r="D95" i="27"/>
  <c r="J96" i="27" s="1"/>
  <c r="D95" i="5"/>
  <c r="J96" i="5" s="1"/>
  <c r="D95" i="30"/>
  <c r="J96" i="30" s="1"/>
  <c r="D95" i="40"/>
  <c r="J96" i="40" s="1"/>
  <c r="D95" i="4"/>
  <c r="J96" i="4" s="1"/>
  <c r="D95" i="22"/>
  <c r="J96" i="22" s="1"/>
  <c r="D95" i="13"/>
  <c r="D95" i="42"/>
  <c r="J96" i="42" s="1"/>
  <c r="D95" i="23"/>
  <c r="J96" i="23" s="1"/>
  <c r="D95" i="6"/>
  <c r="J96" i="6" s="1"/>
  <c r="D95" i="3"/>
  <c r="J96" i="3" s="1"/>
  <c r="D95" i="8"/>
  <c r="J96" i="8" s="1"/>
  <c r="H105" i="48"/>
  <c r="I105" i="48"/>
  <c r="I105" i="49"/>
  <c r="H105" i="49"/>
  <c r="E107" i="47"/>
  <c r="F107" i="47" s="1"/>
  <c r="B107" i="47"/>
  <c r="B106" i="49"/>
  <c r="F106" i="49"/>
  <c r="H106" i="47"/>
  <c r="I106" i="47"/>
  <c r="E106" i="48"/>
  <c r="F106" i="48" s="1"/>
  <c r="B106" i="48"/>
  <c r="J106" i="47" l="1"/>
  <c r="J105" i="49"/>
  <c r="J105" i="48"/>
  <c r="E112" i="3"/>
  <c r="F112" i="3" s="1"/>
  <c r="E113" i="3" s="1"/>
  <c r="E109" i="24"/>
  <c r="F109" i="24" s="1"/>
  <c r="E102" i="45"/>
  <c r="F102" i="45" s="1"/>
  <c r="E103" i="45" s="1"/>
  <c r="G107" i="47"/>
  <c r="D108" i="47"/>
  <c r="E113" i="6"/>
  <c r="F113" i="6" s="1"/>
  <c r="E114" i="6" s="1"/>
  <c r="E112" i="5"/>
  <c r="F112" i="5" s="1"/>
  <c r="E113" i="5" s="1"/>
  <c r="E104" i="39"/>
  <c r="F104" i="39" s="1"/>
  <c r="E105" i="39" s="1"/>
  <c r="E114" i="9"/>
  <c r="F114" i="9" s="1"/>
  <c r="G106" i="49"/>
  <c r="D107" i="49"/>
  <c r="E110" i="23"/>
  <c r="F110" i="23" s="1"/>
  <c r="E111" i="23" s="1"/>
  <c r="E112" i="4"/>
  <c r="F112" i="4" s="1"/>
  <c r="E113" i="4" s="1"/>
  <c r="E108" i="27"/>
  <c r="F108" i="27" s="1"/>
  <c r="E109" i="27" s="1"/>
  <c r="E101" i="46"/>
  <c r="F101" i="46" s="1"/>
  <c r="E103" i="43"/>
  <c r="F103" i="43" s="1"/>
  <c r="E104" i="43" s="1"/>
  <c r="E107" i="31"/>
  <c r="F107" i="31" s="1"/>
  <c r="E108" i="31" s="1"/>
  <c r="E103" i="41"/>
  <c r="F103" i="41" s="1"/>
  <c r="E104" i="41" s="1"/>
  <c r="E106" i="30"/>
  <c r="F106" i="30" s="1"/>
  <c r="E114" i="11"/>
  <c r="F114" i="11" s="1"/>
  <c r="E107" i="29"/>
  <c r="F107" i="29" s="1"/>
  <c r="D107" i="48"/>
  <c r="G106" i="48"/>
  <c r="E111" i="22"/>
  <c r="F111" i="22" s="1"/>
  <c r="E112" i="22" s="1"/>
  <c r="E110" i="25"/>
  <c r="F110" i="25" s="1"/>
  <c r="E104" i="37"/>
  <c r="F104" i="37" s="1"/>
  <c r="E113" i="8"/>
  <c r="F113" i="8" s="1"/>
  <c r="E114" i="8" s="1"/>
  <c r="E103" i="42"/>
  <c r="F103" i="42" s="1"/>
  <c r="E103" i="40"/>
  <c r="F103" i="40" s="1"/>
  <c r="E104" i="40" s="1"/>
  <c r="E115" i="10"/>
  <c r="F115" i="10" s="1"/>
  <c r="E102" i="44"/>
  <c r="F102" i="44" s="1"/>
  <c r="E103" i="44" s="1"/>
  <c r="E115" i="7"/>
  <c r="F115" i="7" s="1"/>
  <c r="E116" i="7" s="1"/>
  <c r="E107" i="28"/>
  <c r="F107" i="28" s="1"/>
  <c r="E108" i="28" s="1"/>
  <c r="E103" i="38"/>
  <c r="F103" i="38" s="1"/>
  <c r="E104" i="38" s="1"/>
  <c r="H107" i="29" l="1"/>
  <c r="M88" i="29" s="1"/>
  <c r="M89" i="29" s="1"/>
  <c r="G107" i="29"/>
  <c r="I107" i="29" s="1"/>
  <c r="D108" i="29"/>
  <c r="E108" i="29"/>
  <c r="H115" i="7"/>
  <c r="M88" i="7" s="1"/>
  <c r="M89" i="7" s="1"/>
  <c r="G115" i="7"/>
  <c r="I115" i="7" s="1"/>
  <c r="D116" i="7"/>
  <c r="H115" i="10"/>
  <c r="M88" i="10" s="1"/>
  <c r="M89" i="10" s="1"/>
  <c r="G115" i="10"/>
  <c r="I115" i="10" s="1"/>
  <c r="D116" i="10"/>
  <c r="E116" i="10"/>
  <c r="D104" i="42"/>
  <c r="B104" i="42" s="1"/>
  <c r="G103" i="42"/>
  <c r="I103" i="42" s="1"/>
  <c r="H103" i="42"/>
  <c r="M88" i="42" s="1"/>
  <c r="M89" i="42" s="1"/>
  <c r="E104" i="42"/>
  <c r="H102" i="44"/>
  <c r="M88" i="44" s="1"/>
  <c r="M89" i="44" s="1"/>
  <c r="G102" i="44"/>
  <c r="I102" i="44" s="1"/>
  <c r="D103" i="44"/>
  <c r="H104" i="37"/>
  <c r="M88" i="37" s="1"/>
  <c r="M89" i="37" s="1"/>
  <c r="G104" i="37"/>
  <c r="I104" i="37" s="1"/>
  <c r="D105" i="37"/>
  <c r="E105" i="37"/>
  <c r="I106" i="48"/>
  <c r="H106" i="48"/>
  <c r="H106" i="30"/>
  <c r="M88" i="30" s="1"/>
  <c r="M89" i="30" s="1"/>
  <c r="D107" i="30"/>
  <c r="G106" i="30"/>
  <c r="I106" i="30" s="1"/>
  <c r="E107" i="30"/>
  <c r="H107" i="28"/>
  <c r="M88" i="28" s="1"/>
  <c r="M89" i="28" s="1"/>
  <c r="G107" i="28"/>
  <c r="I107" i="28" s="1"/>
  <c r="D108" i="28"/>
  <c r="H113" i="8"/>
  <c r="M88" i="8" s="1"/>
  <c r="M89" i="8" s="1"/>
  <c r="G113" i="8"/>
  <c r="I113" i="8" s="1"/>
  <c r="D114" i="8"/>
  <c r="H110" i="25"/>
  <c r="G110" i="25"/>
  <c r="I110" i="25" s="1"/>
  <c r="D111" i="25"/>
  <c r="E111" i="25"/>
  <c r="E107" i="48"/>
  <c r="F107" i="48" s="1"/>
  <c r="B107" i="48"/>
  <c r="H114" i="11"/>
  <c r="M88" i="11" s="1"/>
  <c r="M89" i="11" s="1"/>
  <c r="G114" i="11"/>
  <c r="I114" i="11" s="1"/>
  <c r="D115" i="11"/>
  <c r="E115" i="11"/>
  <c r="E102" i="46"/>
  <c r="H101" i="46"/>
  <c r="M88" i="46" s="1"/>
  <c r="M89" i="46" s="1"/>
  <c r="G101" i="46"/>
  <c r="I101" i="46" s="1"/>
  <c r="D102" i="46"/>
  <c r="H103" i="38"/>
  <c r="M88" i="38" s="1"/>
  <c r="M89" i="38" s="1"/>
  <c r="G103" i="38"/>
  <c r="I103" i="38" s="1"/>
  <c r="D104" i="38"/>
  <c r="B104" i="38" s="1"/>
  <c r="H103" i="40"/>
  <c r="M88" i="40" s="1"/>
  <c r="M89" i="40" s="1"/>
  <c r="G103" i="40"/>
  <c r="I103" i="40" s="1"/>
  <c r="D104" i="40"/>
  <c r="H107" i="31"/>
  <c r="M88" i="31" s="1"/>
  <c r="M89" i="31" s="1"/>
  <c r="G107" i="31"/>
  <c r="I107" i="31" s="1"/>
  <c r="D108" i="31"/>
  <c r="H114" i="9"/>
  <c r="M88" i="9" s="1"/>
  <c r="M89" i="9" s="1"/>
  <c r="D115" i="9"/>
  <c r="G114" i="9"/>
  <c r="I114" i="9" s="1"/>
  <c r="E115" i="9"/>
  <c r="E108" i="47"/>
  <c r="F108" i="47" s="1"/>
  <c r="B108" i="47"/>
  <c r="H109" i="24"/>
  <c r="M88" i="24" s="1"/>
  <c r="M89" i="24" s="1"/>
  <c r="G109" i="24"/>
  <c r="I109" i="24" s="1"/>
  <c r="D110" i="24"/>
  <c r="E110" i="24"/>
  <c r="H111" i="22"/>
  <c r="M88" i="22" s="1"/>
  <c r="M89" i="22" s="1"/>
  <c r="G111" i="22"/>
  <c r="I111" i="22" s="1"/>
  <c r="D112" i="22"/>
  <c r="H103" i="41"/>
  <c r="G103" i="41"/>
  <c r="I103" i="41" s="1"/>
  <c r="D104" i="41"/>
  <c r="B104" i="41" s="1"/>
  <c r="H112" i="4"/>
  <c r="M88" i="4" s="1"/>
  <c r="M89" i="4" s="1"/>
  <c r="G112" i="4"/>
  <c r="I112" i="4" s="1"/>
  <c r="D113" i="4"/>
  <c r="H103" i="43"/>
  <c r="M88" i="43" s="1"/>
  <c r="M89" i="43" s="1"/>
  <c r="D104" i="43"/>
  <c r="G103" i="43"/>
  <c r="I103" i="43" s="1"/>
  <c r="H108" i="27"/>
  <c r="M88" i="27" s="1"/>
  <c r="M89" i="27" s="1"/>
  <c r="G108" i="27"/>
  <c r="I108" i="27" s="1"/>
  <c r="D109" i="27"/>
  <c r="H107" i="47"/>
  <c r="I107" i="47"/>
  <c r="H106" i="49"/>
  <c r="I106" i="49"/>
  <c r="H112" i="5"/>
  <c r="M88" i="5" s="1"/>
  <c r="M89" i="5" s="1"/>
  <c r="G112" i="5"/>
  <c r="I112" i="5" s="1"/>
  <c r="D113" i="5"/>
  <c r="H110" i="23"/>
  <c r="M88" i="23" s="1"/>
  <c r="M89" i="23" s="1"/>
  <c r="G110" i="23"/>
  <c r="I110" i="23" s="1"/>
  <c r="D111" i="23"/>
  <c r="H104" i="39"/>
  <c r="M88" i="39" s="1"/>
  <c r="M89" i="39" s="1"/>
  <c r="G104" i="39"/>
  <c r="I104" i="39" s="1"/>
  <c r="D105" i="39"/>
  <c r="E107" i="49"/>
  <c r="F107" i="49" s="1"/>
  <c r="B107" i="49"/>
  <c r="H113" i="6"/>
  <c r="M88" i="6" s="1"/>
  <c r="M89" i="6" s="1"/>
  <c r="D114" i="6"/>
  <c r="G113" i="6"/>
  <c r="I113" i="6" s="1"/>
  <c r="G102" i="45"/>
  <c r="I102" i="45" s="1"/>
  <c r="D103" i="45"/>
  <c r="H102" i="45"/>
  <c r="M88" i="45" s="1"/>
  <c r="M89" i="45" s="1"/>
  <c r="H112" i="3"/>
  <c r="M88" i="3" s="1"/>
  <c r="D113" i="3"/>
  <c r="G112" i="3"/>
  <c r="I112" i="3" s="1"/>
  <c r="I36" i="17"/>
  <c r="I43" i="17"/>
  <c r="I22" i="17"/>
  <c r="I34" i="17"/>
  <c r="I31" i="17"/>
  <c r="I38" i="17"/>
  <c r="I37" i="17"/>
  <c r="I23" i="17"/>
  <c r="I26" i="17"/>
  <c r="I28" i="17"/>
  <c r="I41" i="17"/>
  <c r="I27" i="17"/>
  <c r="I21" i="17"/>
  <c r="I24" i="17"/>
  <c r="I33" i="17"/>
  <c r="I20" i="17"/>
  <c r="I35" i="17"/>
  <c r="I25" i="17"/>
  <c r="I29" i="17"/>
  <c r="I45" i="17"/>
  <c r="I44" i="17"/>
  <c r="I42" i="17"/>
  <c r="I32" i="17"/>
  <c r="I19" i="17"/>
  <c r="I39" i="17"/>
  <c r="J110" i="25" l="1"/>
  <c r="J106" i="49"/>
  <c r="F104" i="41"/>
  <c r="H104" i="41" s="1"/>
  <c r="J107" i="47"/>
  <c r="V28" i="17"/>
  <c r="V34" i="17"/>
  <c r="V22" i="17"/>
  <c r="V44" i="17"/>
  <c r="V31" i="17"/>
  <c r="V27" i="17"/>
  <c r="V29" i="17"/>
  <c r="V45" i="17"/>
  <c r="V36" i="17"/>
  <c r="V35" i="17"/>
  <c r="V21" i="17"/>
  <c r="V20" i="17"/>
  <c r="V39" i="17"/>
  <c r="V37" i="17"/>
  <c r="V26" i="17"/>
  <c r="V41" i="17"/>
  <c r="V19" i="17"/>
  <c r="V32" i="17"/>
  <c r="V33" i="17"/>
  <c r="V38" i="17"/>
  <c r="V42" i="17"/>
  <c r="V24" i="17"/>
  <c r="V23" i="17"/>
  <c r="V43" i="17"/>
  <c r="V25" i="17"/>
  <c r="B109" i="27"/>
  <c r="F109" i="27"/>
  <c r="B104" i="43"/>
  <c r="F104" i="43"/>
  <c r="F112" i="22"/>
  <c r="B112" i="22"/>
  <c r="N88" i="42"/>
  <c r="J103" i="42"/>
  <c r="B114" i="6"/>
  <c r="F114" i="6"/>
  <c r="B111" i="23"/>
  <c r="F111" i="23"/>
  <c r="N88" i="5"/>
  <c r="J112" i="5"/>
  <c r="B113" i="4"/>
  <c r="F113" i="4"/>
  <c r="N88" i="41"/>
  <c r="J103" i="41"/>
  <c r="F108" i="31"/>
  <c r="B108" i="31"/>
  <c r="N88" i="40"/>
  <c r="J103" i="40"/>
  <c r="N88" i="38"/>
  <c r="J103" i="38"/>
  <c r="N88" i="11"/>
  <c r="J114" i="11"/>
  <c r="B108" i="28"/>
  <c r="F108" i="28"/>
  <c r="N88" i="30"/>
  <c r="J106" i="30"/>
  <c r="J106" i="48"/>
  <c r="F104" i="42"/>
  <c r="B116" i="7"/>
  <c r="F116" i="7"/>
  <c r="B108" i="29"/>
  <c r="F108" i="29"/>
  <c r="J102" i="45"/>
  <c r="N88" i="45"/>
  <c r="G107" i="49"/>
  <c r="D108" i="49"/>
  <c r="B111" i="25"/>
  <c r="F111" i="25"/>
  <c r="N88" i="8"/>
  <c r="J113" i="8"/>
  <c r="J102" i="44"/>
  <c r="N88" i="44"/>
  <c r="N88" i="10"/>
  <c r="J115" i="10"/>
  <c r="N88" i="3"/>
  <c r="J112" i="3"/>
  <c r="F103" i="45"/>
  <c r="H103" i="45" s="1"/>
  <c r="B103" i="45"/>
  <c r="B105" i="39"/>
  <c r="F105" i="39"/>
  <c r="N88" i="23"/>
  <c r="J110" i="23"/>
  <c r="N88" i="43"/>
  <c r="J103" i="43"/>
  <c r="N88" i="4"/>
  <c r="J112" i="4"/>
  <c r="M88" i="41"/>
  <c r="M89" i="41" s="1"/>
  <c r="G108" i="47"/>
  <c r="D109" i="47"/>
  <c r="N88" i="9"/>
  <c r="J114" i="9"/>
  <c r="N88" i="31"/>
  <c r="J107" i="31"/>
  <c r="B114" i="8"/>
  <c r="F114" i="8"/>
  <c r="N88" i="28"/>
  <c r="J107" i="28"/>
  <c r="B107" i="30"/>
  <c r="F107" i="30"/>
  <c r="B103" i="44"/>
  <c r="F103" i="44"/>
  <c r="H103" i="44" s="1"/>
  <c r="B116" i="10"/>
  <c r="F116" i="10"/>
  <c r="N88" i="7"/>
  <c r="J115" i="7"/>
  <c r="N88" i="29"/>
  <c r="J107" i="29"/>
  <c r="B113" i="3"/>
  <c r="F113" i="3"/>
  <c r="N88" i="39"/>
  <c r="J104" i="39"/>
  <c r="B110" i="24"/>
  <c r="F110" i="24"/>
  <c r="B115" i="9"/>
  <c r="F115" i="9"/>
  <c r="B102" i="46"/>
  <c r="F102" i="46"/>
  <c r="H102" i="46" s="1"/>
  <c r="B105" i="37"/>
  <c r="F105" i="37"/>
  <c r="M89" i="3"/>
  <c r="N88" i="6"/>
  <c r="J113" i="6"/>
  <c r="B113" i="5"/>
  <c r="F113" i="5"/>
  <c r="N88" i="27"/>
  <c r="J108" i="27"/>
  <c r="N88" i="22"/>
  <c r="J111" i="22"/>
  <c r="N88" i="24"/>
  <c r="J109" i="24"/>
  <c r="B104" i="40"/>
  <c r="F104" i="40"/>
  <c r="N88" i="46"/>
  <c r="J101" i="46"/>
  <c r="B115" i="11"/>
  <c r="F115" i="11"/>
  <c r="D108" i="48"/>
  <c r="G107" i="48"/>
  <c r="N88" i="37"/>
  <c r="J104" i="37"/>
  <c r="F104" i="38"/>
  <c r="I40" i="17"/>
  <c r="I18" i="17"/>
  <c r="E105" i="41" l="1"/>
  <c r="G104" i="41"/>
  <c r="I104" i="41" s="1"/>
  <c r="D105" i="41"/>
  <c r="B105" i="41" s="1"/>
  <c r="V18" i="17"/>
  <c r="V40" i="17"/>
  <c r="I107" i="48"/>
  <c r="H107" i="48"/>
  <c r="H104" i="38"/>
  <c r="G104" i="38"/>
  <c r="I104" i="38" s="1"/>
  <c r="D105" i="38"/>
  <c r="E105" i="38"/>
  <c r="H115" i="11"/>
  <c r="G115" i="11"/>
  <c r="I115" i="11" s="1"/>
  <c r="D116" i="11"/>
  <c r="E116" i="11"/>
  <c r="H104" i="40"/>
  <c r="G104" i="40"/>
  <c r="I104" i="40" s="1"/>
  <c r="D105" i="40"/>
  <c r="E105" i="40"/>
  <c r="N89" i="27"/>
  <c r="O88" i="27"/>
  <c r="O89" i="27" s="1"/>
  <c r="H105" i="37"/>
  <c r="D106" i="37"/>
  <c r="G105" i="37"/>
  <c r="I105" i="37" s="1"/>
  <c r="E106" i="37"/>
  <c r="H107" i="30"/>
  <c r="D108" i="30"/>
  <c r="G107" i="30"/>
  <c r="I107" i="30" s="1"/>
  <c r="E108" i="30"/>
  <c r="N89" i="28"/>
  <c r="O88" i="28"/>
  <c r="O89" i="28" s="1"/>
  <c r="E109" i="47"/>
  <c r="F109" i="47" s="1"/>
  <c r="B109" i="47"/>
  <c r="N89" i="43"/>
  <c r="O88" i="43"/>
  <c r="O89" i="43" s="1"/>
  <c r="N89" i="42"/>
  <c r="O88" i="42"/>
  <c r="O89" i="42" s="1"/>
  <c r="N89" i="37"/>
  <c r="O88" i="37"/>
  <c r="O89" i="37" s="1"/>
  <c r="O88" i="22"/>
  <c r="O89" i="22" s="1"/>
  <c r="N89" i="22"/>
  <c r="H113" i="5"/>
  <c r="G113" i="5"/>
  <c r="I113" i="5" s="1"/>
  <c r="D114" i="5"/>
  <c r="E114" i="5"/>
  <c r="N89" i="6"/>
  <c r="O88" i="6"/>
  <c r="O89" i="6" s="1"/>
  <c r="H115" i="9"/>
  <c r="G115" i="9"/>
  <c r="I115" i="9" s="1"/>
  <c r="D116" i="9"/>
  <c r="E116" i="9"/>
  <c r="H114" i="8"/>
  <c r="G114" i="8"/>
  <c r="I114" i="8" s="1"/>
  <c r="D115" i="8"/>
  <c r="E115" i="8"/>
  <c r="O88" i="31"/>
  <c r="O89" i="31" s="1"/>
  <c r="N89" i="31"/>
  <c r="H108" i="47"/>
  <c r="I108" i="47"/>
  <c r="O88" i="10"/>
  <c r="O89" i="10" s="1"/>
  <c r="N89" i="10"/>
  <c r="E108" i="49"/>
  <c r="F108" i="49" s="1"/>
  <c r="B108" i="49"/>
  <c r="H108" i="29"/>
  <c r="G108" i="29"/>
  <c r="I108" i="29" s="1"/>
  <c r="D109" i="29"/>
  <c r="E109" i="29"/>
  <c r="H104" i="42"/>
  <c r="G104" i="42"/>
  <c r="I104" i="42" s="1"/>
  <c r="D105" i="42"/>
  <c r="B105" i="42" s="1"/>
  <c r="E105" i="42"/>
  <c r="O88" i="30"/>
  <c r="O89" i="30" s="1"/>
  <c r="N89" i="30"/>
  <c r="O88" i="11"/>
  <c r="O89" i="11" s="1"/>
  <c r="N89" i="11"/>
  <c r="N89" i="40"/>
  <c r="O88" i="40"/>
  <c r="O89" i="40" s="1"/>
  <c r="N89" i="41"/>
  <c r="O88" i="41"/>
  <c r="O89" i="41" s="1"/>
  <c r="H114" i="6"/>
  <c r="G114" i="6"/>
  <c r="I114" i="6" s="1"/>
  <c r="D115" i="6"/>
  <c r="E115" i="6"/>
  <c r="H109" i="27"/>
  <c r="G109" i="27"/>
  <c r="I109" i="27" s="1"/>
  <c r="D110" i="27"/>
  <c r="E110" i="27"/>
  <c r="O88" i="39"/>
  <c r="O89" i="39" s="1"/>
  <c r="N89" i="39"/>
  <c r="O88" i="7"/>
  <c r="O89" i="7" s="1"/>
  <c r="N89" i="7"/>
  <c r="E104" i="44"/>
  <c r="G103" i="44"/>
  <c r="I103" i="44" s="1"/>
  <c r="J103" i="44" s="1"/>
  <c r="D104" i="44"/>
  <c r="O88" i="4"/>
  <c r="O89" i="4" s="1"/>
  <c r="N89" i="4"/>
  <c r="N89" i="23"/>
  <c r="O88" i="23"/>
  <c r="O89" i="23" s="1"/>
  <c r="N89" i="3"/>
  <c r="O88" i="3"/>
  <c r="O89" i="3" s="1"/>
  <c r="O88" i="44"/>
  <c r="O89" i="44" s="1"/>
  <c r="N89" i="44"/>
  <c r="O88" i="8"/>
  <c r="O89" i="8" s="1"/>
  <c r="N89" i="8"/>
  <c r="J104" i="41"/>
  <c r="H107" i="49"/>
  <c r="I107" i="49"/>
  <c r="H108" i="28"/>
  <c r="G108" i="28"/>
  <c r="I108" i="28" s="1"/>
  <c r="D109" i="28"/>
  <c r="E109" i="28"/>
  <c r="H113" i="4"/>
  <c r="D114" i="4"/>
  <c r="G113" i="4"/>
  <c r="I113" i="4" s="1"/>
  <c r="E114" i="4"/>
  <c r="N89" i="5"/>
  <c r="O88" i="5"/>
  <c r="O89" i="5" s="1"/>
  <c r="H112" i="22"/>
  <c r="G112" i="22"/>
  <c r="I112" i="22" s="1"/>
  <c r="D113" i="22"/>
  <c r="E113" i="22"/>
  <c r="E108" i="48"/>
  <c r="F108" i="48" s="1"/>
  <c r="B108" i="48"/>
  <c r="O88" i="46"/>
  <c r="O89" i="46" s="1"/>
  <c r="N89" i="46"/>
  <c r="O88" i="24"/>
  <c r="O89" i="24" s="1"/>
  <c r="N89" i="24"/>
  <c r="E103" i="46"/>
  <c r="G102" i="46"/>
  <c r="I102" i="46" s="1"/>
  <c r="J102" i="46" s="1"/>
  <c r="D103" i="46"/>
  <c r="H110" i="24"/>
  <c r="D111" i="24"/>
  <c r="G110" i="24"/>
  <c r="I110" i="24" s="1"/>
  <c r="E111" i="24"/>
  <c r="H113" i="3"/>
  <c r="G113" i="3"/>
  <c r="I113" i="3" s="1"/>
  <c r="D114" i="3"/>
  <c r="E114" i="3"/>
  <c r="O88" i="29"/>
  <c r="O89" i="29" s="1"/>
  <c r="N89" i="29"/>
  <c r="H116" i="10"/>
  <c r="G116" i="10"/>
  <c r="I116" i="10" s="1"/>
  <c r="D117" i="10"/>
  <c r="E117" i="10"/>
  <c r="N89" i="9"/>
  <c r="O88" i="9"/>
  <c r="O89" i="9" s="1"/>
  <c r="H105" i="39"/>
  <c r="G105" i="39"/>
  <c r="I105" i="39" s="1"/>
  <c r="D106" i="39"/>
  <c r="E106" i="39"/>
  <c r="G103" i="45"/>
  <c r="I103" i="45" s="1"/>
  <c r="J103" i="45" s="1"/>
  <c r="D104" i="45"/>
  <c r="E104" i="45"/>
  <c r="H111" i="25"/>
  <c r="M88" i="25" s="1"/>
  <c r="G111" i="25"/>
  <c r="I111" i="25" s="1"/>
  <c r="D112" i="25"/>
  <c r="E112" i="25"/>
  <c r="O88" i="45"/>
  <c r="O89" i="45" s="1"/>
  <c r="N89" i="45"/>
  <c r="H116" i="7"/>
  <c r="G116" i="7"/>
  <c r="I116" i="7" s="1"/>
  <c r="D117" i="7"/>
  <c r="E117" i="7"/>
  <c r="N89" i="38"/>
  <c r="O88" i="38"/>
  <c r="O89" i="38" s="1"/>
  <c r="H108" i="31"/>
  <c r="D109" i="31"/>
  <c r="G108" i="31"/>
  <c r="I108" i="31" s="1"/>
  <c r="E109" i="31"/>
  <c r="H111" i="23"/>
  <c r="D112" i="23"/>
  <c r="G111" i="23"/>
  <c r="I111" i="23" s="1"/>
  <c r="E112" i="23"/>
  <c r="H104" i="43"/>
  <c r="D105" i="43"/>
  <c r="G104" i="43"/>
  <c r="I104" i="43" s="1"/>
  <c r="E105" i="43"/>
  <c r="F105" i="41" l="1"/>
  <c r="D106" i="41" s="1"/>
  <c r="B106" i="41" s="1"/>
  <c r="J104" i="40"/>
  <c r="J115" i="11"/>
  <c r="J115" i="9"/>
  <c r="J104" i="38"/>
  <c r="J110" i="24"/>
  <c r="E106" i="41"/>
  <c r="F106" i="41" s="1"/>
  <c r="J107" i="49"/>
  <c r="J107" i="48"/>
  <c r="J104" i="42"/>
  <c r="J108" i="47"/>
  <c r="G108" i="48"/>
  <c r="D109" i="48"/>
  <c r="G109" i="47"/>
  <c r="D110" i="47"/>
  <c r="F117" i="7"/>
  <c r="B117" i="7"/>
  <c r="M89" i="25"/>
  <c r="N18" i="2"/>
  <c r="J116" i="10"/>
  <c r="F103" i="46"/>
  <c r="B103" i="46"/>
  <c r="B114" i="4"/>
  <c r="F114" i="4"/>
  <c r="J108" i="28"/>
  <c r="B104" i="44"/>
  <c r="F104" i="44"/>
  <c r="H104" i="44" s="1"/>
  <c r="F115" i="8"/>
  <c r="B115" i="8"/>
  <c r="B116" i="9"/>
  <c r="F116" i="9"/>
  <c r="F105" i="40"/>
  <c r="B105" i="40"/>
  <c r="B116" i="11"/>
  <c r="F116" i="11"/>
  <c r="B105" i="38"/>
  <c r="F105" i="38"/>
  <c r="J116" i="7"/>
  <c r="F106" i="39"/>
  <c r="B106" i="39"/>
  <c r="B114" i="3"/>
  <c r="F114" i="3"/>
  <c r="B113" i="22"/>
  <c r="F113" i="22"/>
  <c r="F105" i="42"/>
  <c r="G108" i="49"/>
  <c r="D109" i="49"/>
  <c r="J114" i="8"/>
  <c r="J104" i="43"/>
  <c r="J111" i="23"/>
  <c r="J108" i="31"/>
  <c r="F112" i="25"/>
  <c r="B112" i="25"/>
  <c r="B104" i="45"/>
  <c r="F104" i="45"/>
  <c r="H104" i="45" s="1"/>
  <c r="J105" i="39"/>
  <c r="J113" i="3"/>
  <c r="F111" i="24"/>
  <c r="B111" i="24"/>
  <c r="J112" i="22"/>
  <c r="B110" i="27"/>
  <c r="F110" i="27"/>
  <c r="B115" i="6"/>
  <c r="F115" i="6"/>
  <c r="F109" i="29"/>
  <c r="B109" i="29"/>
  <c r="B114" i="5"/>
  <c r="F114" i="5"/>
  <c r="J107" i="30"/>
  <c r="J105" i="37"/>
  <c r="F105" i="43"/>
  <c r="B105" i="43"/>
  <c r="B112" i="23"/>
  <c r="F112" i="23"/>
  <c r="F109" i="31"/>
  <c r="B109" i="31"/>
  <c r="N88" i="25"/>
  <c r="J111" i="25"/>
  <c r="F117" i="10"/>
  <c r="B117" i="10"/>
  <c r="J113" i="4"/>
  <c r="B109" i="28"/>
  <c r="F109" i="28"/>
  <c r="J109" i="27"/>
  <c r="J114" i="6"/>
  <c r="J108" i="29"/>
  <c r="J113" i="5"/>
  <c r="B108" i="30"/>
  <c r="F108" i="30"/>
  <c r="B106" i="37"/>
  <c r="F106" i="37"/>
  <c r="I30" i="17"/>
  <c r="H105" i="41" l="1"/>
  <c r="G105" i="41"/>
  <c r="I105" i="41" s="1"/>
  <c r="V30" i="17"/>
  <c r="I50" i="17"/>
  <c r="H105" i="38"/>
  <c r="D106" i="38"/>
  <c r="B106" i="38" s="1"/>
  <c r="G105" i="38"/>
  <c r="I105" i="38" s="1"/>
  <c r="E106" i="38"/>
  <c r="D105" i="44"/>
  <c r="B105" i="44" s="1"/>
  <c r="G104" i="44"/>
  <c r="I104" i="44" s="1"/>
  <c r="J104" i="44" s="1"/>
  <c r="E105" i="44"/>
  <c r="H114" i="4"/>
  <c r="D115" i="4"/>
  <c r="G114" i="4"/>
  <c r="I114" i="4" s="1"/>
  <c r="E115" i="4"/>
  <c r="G103" i="46"/>
  <c r="I103" i="46" s="1"/>
  <c r="D104" i="46"/>
  <c r="E104" i="46"/>
  <c r="H109" i="47"/>
  <c r="I109" i="47"/>
  <c r="H106" i="37"/>
  <c r="G106" i="37"/>
  <c r="I106" i="37" s="1"/>
  <c r="D107" i="37"/>
  <c r="E107" i="37"/>
  <c r="O88" i="25"/>
  <c r="O89" i="25" s="1"/>
  <c r="N89" i="25"/>
  <c r="O18" i="2"/>
  <c r="H109" i="28"/>
  <c r="G109" i="28"/>
  <c r="I109" i="28" s="1"/>
  <c r="D110" i="28"/>
  <c r="E110" i="28"/>
  <c r="H110" i="27"/>
  <c r="G110" i="27"/>
  <c r="I110" i="27" s="1"/>
  <c r="D111" i="27"/>
  <c r="E111" i="27"/>
  <c r="H111" i="24"/>
  <c r="G111" i="24"/>
  <c r="I111" i="24" s="1"/>
  <c r="D112" i="24"/>
  <c r="E112" i="24"/>
  <c r="H112" i="25"/>
  <c r="D113" i="25"/>
  <c r="G112" i="25"/>
  <c r="I112" i="25" s="1"/>
  <c r="E113" i="25"/>
  <c r="E109" i="49"/>
  <c r="F109" i="49" s="1"/>
  <c r="B109" i="49"/>
  <c r="H106" i="39"/>
  <c r="G106" i="39"/>
  <c r="I106" i="39" s="1"/>
  <c r="D107" i="39"/>
  <c r="E107" i="39"/>
  <c r="H105" i="40"/>
  <c r="G105" i="40"/>
  <c r="I105" i="40" s="1"/>
  <c r="D106" i="40"/>
  <c r="E106" i="40"/>
  <c r="H115" i="8"/>
  <c r="G115" i="8"/>
  <c r="I115" i="8" s="1"/>
  <c r="D116" i="8"/>
  <c r="E116" i="8"/>
  <c r="H113" i="22"/>
  <c r="G113" i="22"/>
  <c r="I113" i="22" s="1"/>
  <c r="D114" i="22"/>
  <c r="E114" i="22"/>
  <c r="H108" i="30"/>
  <c r="G108" i="30"/>
  <c r="I108" i="30" s="1"/>
  <c r="D109" i="30"/>
  <c r="E109" i="30"/>
  <c r="H117" i="10"/>
  <c r="G117" i="10"/>
  <c r="I117" i="10" s="1"/>
  <c r="D118" i="10"/>
  <c r="E118" i="10"/>
  <c r="H109" i="31"/>
  <c r="D110" i="31"/>
  <c r="G109" i="31"/>
  <c r="I109" i="31" s="1"/>
  <c r="E110" i="31"/>
  <c r="H105" i="43"/>
  <c r="G105" i="43"/>
  <c r="I105" i="43" s="1"/>
  <c r="D106" i="43"/>
  <c r="E106" i="43"/>
  <c r="H114" i="5"/>
  <c r="G114" i="5"/>
  <c r="I114" i="5" s="1"/>
  <c r="D115" i="5"/>
  <c r="E115" i="5"/>
  <c r="H109" i="29"/>
  <c r="D110" i="29"/>
  <c r="G109" i="29"/>
  <c r="I109" i="29" s="1"/>
  <c r="E110" i="29"/>
  <c r="D105" i="45"/>
  <c r="G104" i="45"/>
  <c r="I104" i="45" s="1"/>
  <c r="J104" i="45" s="1"/>
  <c r="E105" i="45"/>
  <c r="I108" i="49"/>
  <c r="H108" i="49"/>
  <c r="H114" i="3"/>
  <c r="G114" i="3"/>
  <c r="I114" i="3" s="1"/>
  <c r="D115" i="3"/>
  <c r="E115" i="3"/>
  <c r="H116" i="11"/>
  <c r="G116" i="11"/>
  <c r="I116" i="11" s="1"/>
  <c r="D117" i="11"/>
  <c r="E117" i="11"/>
  <c r="H116" i="9"/>
  <c r="D117" i="9"/>
  <c r="G116" i="9"/>
  <c r="I116" i="9" s="1"/>
  <c r="E117" i="9"/>
  <c r="H106" i="41"/>
  <c r="D107" i="41"/>
  <c r="B107" i="41" s="1"/>
  <c r="G106" i="41"/>
  <c r="I106" i="41" s="1"/>
  <c r="E107" i="41"/>
  <c r="H103" i="46"/>
  <c r="H117" i="7"/>
  <c r="G117" i="7"/>
  <c r="I117" i="7" s="1"/>
  <c r="D118" i="7"/>
  <c r="E118" i="7"/>
  <c r="E109" i="48"/>
  <c r="F109" i="48" s="1"/>
  <c r="B109" i="48"/>
  <c r="H112" i="23"/>
  <c r="G112" i="23"/>
  <c r="I112" i="23" s="1"/>
  <c r="D113" i="23"/>
  <c r="E113" i="23"/>
  <c r="H115" i="6"/>
  <c r="G115" i="6"/>
  <c r="I115" i="6" s="1"/>
  <c r="D116" i="6"/>
  <c r="E116" i="6"/>
  <c r="H105" i="42"/>
  <c r="G105" i="42"/>
  <c r="I105" i="42" s="1"/>
  <c r="D106" i="42"/>
  <c r="B106" i="42" s="1"/>
  <c r="E106" i="42"/>
  <c r="R134" i="2"/>
  <c r="N19" i="2"/>
  <c r="N20" i="2" s="1"/>
  <c r="E110" i="47"/>
  <c r="F110" i="47" s="1"/>
  <c r="B110" i="47"/>
  <c r="I108" i="48"/>
  <c r="H108" i="48"/>
  <c r="J105" i="41" l="1"/>
  <c r="J108" i="48"/>
  <c r="J111" i="24"/>
  <c r="J105" i="42"/>
  <c r="J112" i="23"/>
  <c r="J105" i="43"/>
  <c r="J113" i="22"/>
  <c r="J105" i="40"/>
  <c r="J106" i="39"/>
  <c r="F106" i="42"/>
  <c r="J116" i="11"/>
  <c r="J109" i="47"/>
  <c r="F106" i="38"/>
  <c r="D107" i="38" s="1"/>
  <c r="B107" i="38" s="1"/>
  <c r="G109" i="49"/>
  <c r="D110" i="49"/>
  <c r="G109" i="48"/>
  <c r="D110" i="48"/>
  <c r="J115" i="6"/>
  <c r="J109" i="29"/>
  <c r="J109" i="31"/>
  <c r="F114" i="22"/>
  <c r="B114" i="22"/>
  <c r="B107" i="39"/>
  <c r="F107" i="39"/>
  <c r="B113" i="25"/>
  <c r="F113" i="25"/>
  <c r="J109" i="28"/>
  <c r="B115" i="4"/>
  <c r="F115" i="4"/>
  <c r="G110" i="47"/>
  <c r="D111" i="47"/>
  <c r="F110" i="29"/>
  <c r="B110" i="29"/>
  <c r="J114" i="5"/>
  <c r="F110" i="31"/>
  <c r="B110" i="31"/>
  <c r="J117" i="10"/>
  <c r="J108" i="30"/>
  <c r="J115" i="8"/>
  <c r="J103" i="46"/>
  <c r="H106" i="38"/>
  <c r="J114" i="3"/>
  <c r="B115" i="5"/>
  <c r="F115" i="5"/>
  <c r="F118" i="10"/>
  <c r="B118" i="10"/>
  <c r="B109" i="30"/>
  <c r="F109" i="30"/>
  <c r="B106" i="40"/>
  <c r="F106" i="40"/>
  <c r="J110" i="27"/>
  <c r="B104" i="46"/>
  <c r="F104" i="46"/>
  <c r="H104" i="46" s="1"/>
  <c r="H106" i="42"/>
  <c r="D107" i="42"/>
  <c r="B107" i="42" s="1"/>
  <c r="G106" i="42"/>
  <c r="I106" i="42" s="1"/>
  <c r="E107" i="42"/>
  <c r="F118" i="7"/>
  <c r="B118" i="7"/>
  <c r="F107" i="41"/>
  <c r="F105" i="45"/>
  <c r="B105" i="45"/>
  <c r="P18" i="2"/>
  <c r="P19" i="2" s="1"/>
  <c r="P20" i="2" s="1"/>
  <c r="O19" i="2"/>
  <c r="O20" i="2" s="1"/>
  <c r="R135" i="2"/>
  <c r="F107" i="37"/>
  <c r="B107" i="37"/>
  <c r="F105" i="44"/>
  <c r="J105" i="38"/>
  <c r="I51" i="17"/>
  <c r="B117" i="9"/>
  <c r="F117" i="9"/>
  <c r="B106" i="43"/>
  <c r="F106" i="43"/>
  <c r="B116" i="8"/>
  <c r="F116" i="8"/>
  <c r="F116" i="6"/>
  <c r="B116" i="6"/>
  <c r="B113" i="23"/>
  <c r="F113" i="23"/>
  <c r="J117" i="7"/>
  <c r="J106" i="41"/>
  <c r="J116" i="9"/>
  <c r="F117" i="11"/>
  <c r="B117" i="11"/>
  <c r="B115" i="3"/>
  <c r="F115" i="3"/>
  <c r="J108" i="49"/>
  <c r="J112" i="25"/>
  <c r="F112" i="24"/>
  <c r="B112" i="24"/>
  <c r="B111" i="27"/>
  <c r="F111" i="27"/>
  <c r="F110" i="28"/>
  <c r="B110" i="28"/>
  <c r="J106" i="37"/>
  <c r="J114" i="4"/>
  <c r="V50" i="17"/>
  <c r="E107" i="38" l="1"/>
  <c r="F107" i="38" s="1"/>
  <c r="G106" i="38"/>
  <c r="I106" i="38" s="1"/>
  <c r="F107" i="42"/>
  <c r="G107" i="42" s="1"/>
  <c r="I107" i="42" s="1"/>
  <c r="H118" i="7"/>
  <c r="G118" i="7"/>
  <c r="I118" i="7" s="1"/>
  <c r="D119" i="7"/>
  <c r="E119" i="7"/>
  <c r="H115" i="4"/>
  <c r="G115" i="4"/>
  <c r="I115" i="4" s="1"/>
  <c r="D116" i="4"/>
  <c r="E116" i="4"/>
  <c r="E110" i="48"/>
  <c r="F110" i="48" s="1"/>
  <c r="B110" i="48"/>
  <c r="H115" i="3"/>
  <c r="G115" i="3"/>
  <c r="I115" i="3" s="1"/>
  <c r="D116" i="3"/>
  <c r="E116" i="3"/>
  <c r="H113" i="23"/>
  <c r="D114" i="23"/>
  <c r="G113" i="23"/>
  <c r="I113" i="23" s="1"/>
  <c r="E114" i="23"/>
  <c r="H116" i="8"/>
  <c r="G116" i="8"/>
  <c r="I116" i="8" s="1"/>
  <c r="D117" i="8"/>
  <c r="E117" i="8"/>
  <c r="H117" i="9"/>
  <c r="G117" i="9"/>
  <c r="I117" i="9" s="1"/>
  <c r="D118" i="9"/>
  <c r="E118" i="9"/>
  <c r="H105" i="44"/>
  <c r="G105" i="44"/>
  <c r="I105" i="44" s="1"/>
  <c r="D106" i="44"/>
  <c r="E106" i="44"/>
  <c r="G105" i="45"/>
  <c r="I105" i="45" s="1"/>
  <c r="D106" i="45"/>
  <c r="E106" i="45"/>
  <c r="H109" i="30"/>
  <c r="G109" i="30"/>
  <c r="I109" i="30" s="1"/>
  <c r="D110" i="30"/>
  <c r="E110" i="30"/>
  <c r="H115" i="5"/>
  <c r="G115" i="5"/>
  <c r="I115" i="5" s="1"/>
  <c r="D116" i="5"/>
  <c r="E116" i="5"/>
  <c r="H110" i="31"/>
  <c r="G110" i="31"/>
  <c r="I110" i="31" s="1"/>
  <c r="D111" i="31"/>
  <c r="E111" i="31"/>
  <c r="H110" i="29"/>
  <c r="D111" i="29"/>
  <c r="G110" i="29"/>
  <c r="I110" i="29" s="1"/>
  <c r="E111" i="29"/>
  <c r="H114" i="22"/>
  <c r="D115" i="22"/>
  <c r="G114" i="22"/>
  <c r="I114" i="22" s="1"/>
  <c r="E115" i="22"/>
  <c r="I109" i="48"/>
  <c r="H109" i="48"/>
  <c r="H107" i="41"/>
  <c r="G107" i="41"/>
  <c r="I107" i="41" s="1"/>
  <c r="D108" i="41"/>
  <c r="B108" i="41" s="1"/>
  <c r="E108" i="41"/>
  <c r="J106" i="42"/>
  <c r="J106" i="38"/>
  <c r="E111" i="47"/>
  <c r="F111" i="47" s="1"/>
  <c r="B111" i="47"/>
  <c r="H107" i="39"/>
  <c r="G107" i="39"/>
  <c r="I107" i="39" s="1"/>
  <c r="D108" i="39"/>
  <c r="E108" i="39"/>
  <c r="E110" i="49"/>
  <c r="F110" i="49" s="1"/>
  <c r="B110" i="49"/>
  <c r="H117" i="11"/>
  <c r="D118" i="11"/>
  <c r="G117" i="11"/>
  <c r="I117" i="11" s="1"/>
  <c r="E118" i="11"/>
  <c r="H116" i="6"/>
  <c r="G116" i="6"/>
  <c r="I116" i="6" s="1"/>
  <c r="D117" i="6"/>
  <c r="E117" i="6"/>
  <c r="H118" i="10"/>
  <c r="G118" i="10"/>
  <c r="I118" i="10" s="1"/>
  <c r="D119" i="10"/>
  <c r="E119" i="10"/>
  <c r="H113" i="25"/>
  <c r="D114" i="25"/>
  <c r="G113" i="25"/>
  <c r="I113" i="25" s="1"/>
  <c r="E114" i="25"/>
  <c r="H110" i="28"/>
  <c r="G110" i="28"/>
  <c r="I110" i="28" s="1"/>
  <c r="D111" i="28"/>
  <c r="E111" i="28"/>
  <c r="H112" i="24"/>
  <c r="G112" i="24"/>
  <c r="I112" i="24" s="1"/>
  <c r="D113" i="24"/>
  <c r="E113" i="24"/>
  <c r="H111" i="27"/>
  <c r="G111" i="27"/>
  <c r="I111" i="27" s="1"/>
  <c r="D112" i="27"/>
  <c r="E112" i="27"/>
  <c r="H106" i="43"/>
  <c r="G106" i="43"/>
  <c r="I106" i="43" s="1"/>
  <c r="D107" i="43"/>
  <c r="E107" i="43"/>
  <c r="H107" i="37"/>
  <c r="G107" i="37"/>
  <c r="I107" i="37" s="1"/>
  <c r="D108" i="37"/>
  <c r="E108" i="37"/>
  <c r="H105" i="45"/>
  <c r="D105" i="46"/>
  <c r="G104" i="46"/>
  <c r="I104" i="46" s="1"/>
  <c r="J104" i="46" s="1"/>
  <c r="E105" i="46"/>
  <c r="H106" i="40"/>
  <c r="G106" i="40"/>
  <c r="I106" i="40" s="1"/>
  <c r="D107" i="40"/>
  <c r="E107" i="40"/>
  <c r="H110" i="47"/>
  <c r="I110" i="47"/>
  <c r="H109" i="49"/>
  <c r="I109" i="49"/>
  <c r="D108" i="38" l="1"/>
  <c r="B108" i="38" s="1"/>
  <c r="E108" i="38"/>
  <c r="H107" i="38"/>
  <c r="H107" i="42"/>
  <c r="E108" i="42"/>
  <c r="G107" i="38"/>
  <c r="I107" i="38" s="1"/>
  <c r="D108" i="42"/>
  <c r="B108" i="42" s="1"/>
  <c r="J113" i="23"/>
  <c r="J105" i="44"/>
  <c r="J117" i="9"/>
  <c r="J107" i="39"/>
  <c r="J109" i="48"/>
  <c r="F108" i="38"/>
  <c r="H108" i="38" s="1"/>
  <c r="G110" i="48"/>
  <c r="D111" i="48"/>
  <c r="G111" i="47"/>
  <c r="D112" i="47"/>
  <c r="B116" i="4"/>
  <c r="F116" i="4"/>
  <c r="F119" i="7"/>
  <c r="B119" i="7"/>
  <c r="J109" i="49"/>
  <c r="F108" i="39"/>
  <c r="B108" i="39"/>
  <c r="F108" i="41"/>
  <c r="F108" i="42"/>
  <c r="B106" i="44"/>
  <c r="F106" i="44"/>
  <c r="B118" i="9"/>
  <c r="F118" i="9"/>
  <c r="F117" i="8"/>
  <c r="B117" i="8"/>
  <c r="B116" i="3"/>
  <c r="F116" i="3"/>
  <c r="J115" i="4"/>
  <c r="J118" i="7"/>
  <c r="B107" i="40"/>
  <c r="F107" i="40"/>
  <c r="F107" i="43"/>
  <c r="B107" i="43"/>
  <c r="J113" i="25"/>
  <c r="J117" i="11"/>
  <c r="J114" i="22"/>
  <c r="J110" i="29"/>
  <c r="F111" i="31"/>
  <c r="B111" i="31"/>
  <c r="B116" i="5"/>
  <c r="F116" i="5"/>
  <c r="F110" i="30"/>
  <c r="B110" i="30"/>
  <c r="F106" i="45"/>
  <c r="H106" i="45" s="1"/>
  <c r="B106" i="45"/>
  <c r="J116" i="8"/>
  <c r="B114" i="23"/>
  <c r="F114" i="23"/>
  <c r="J115" i="3"/>
  <c r="F108" i="37"/>
  <c r="B108" i="37"/>
  <c r="B112" i="27"/>
  <c r="F112" i="27"/>
  <c r="B113" i="24"/>
  <c r="F113" i="24"/>
  <c r="B111" i="28"/>
  <c r="F111" i="28"/>
  <c r="B119" i="10"/>
  <c r="F119" i="10"/>
  <c r="B117" i="6"/>
  <c r="F117" i="6"/>
  <c r="D111" i="49"/>
  <c r="B111" i="49" s="1"/>
  <c r="G110" i="49"/>
  <c r="E111" i="49"/>
  <c r="J110" i="47"/>
  <c r="J106" i="40"/>
  <c r="F105" i="46"/>
  <c r="B105" i="46"/>
  <c r="J107" i="37"/>
  <c r="J106" i="43"/>
  <c r="J111" i="27"/>
  <c r="J112" i="24"/>
  <c r="J110" i="28"/>
  <c r="B114" i="25"/>
  <c r="F114" i="25"/>
  <c r="J118" i="10"/>
  <c r="J116" i="6"/>
  <c r="B118" i="11"/>
  <c r="F118" i="11"/>
  <c r="J107" i="41"/>
  <c r="B115" i="22"/>
  <c r="F115" i="22"/>
  <c r="B111" i="29"/>
  <c r="F111" i="29"/>
  <c r="J110" i="31"/>
  <c r="J115" i="5"/>
  <c r="J109" i="30"/>
  <c r="J107" i="42"/>
  <c r="J105" i="45"/>
  <c r="J107" i="38" l="1"/>
  <c r="E109" i="38"/>
  <c r="D109" i="38"/>
  <c r="B109" i="38" s="1"/>
  <c r="G108" i="38"/>
  <c r="I108" i="38" s="1"/>
  <c r="J108" i="38" s="1"/>
  <c r="D106" i="46"/>
  <c r="G105" i="46"/>
  <c r="I105" i="46" s="1"/>
  <c r="E106" i="46"/>
  <c r="H113" i="24"/>
  <c r="G113" i="24"/>
  <c r="I113" i="24" s="1"/>
  <c r="D114" i="24"/>
  <c r="E114" i="24"/>
  <c r="H107" i="43"/>
  <c r="D108" i="43"/>
  <c r="G107" i="43"/>
  <c r="I107" i="43" s="1"/>
  <c r="E108" i="43"/>
  <c r="E112" i="47"/>
  <c r="F112" i="47" s="1"/>
  <c r="B112" i="47"/>
  <c r="H114" i="25"/>
  <c r="G114" i="25"/>
  <c r="I114" i="25" s="1"/>
  <c r="D115" i="25"/>
  <c r="E115" i="25"/>
  <c r="H108" i="37"/>
  <c r="G108" i="37"/>
  <c r="I108" i="37" s="1"/>
  <c r="D109" i="37"/>
  <c r="E109" i="37"/>
  <c r="H116" i="5"/>
  <c r="G116" i="5"/>
  <c r="I116" i="5" s="1"/>
  <c r="D117" i="5"/>
  <c r="E117" i="5"/>
  <c r="H111" i="31"/>
  <c r="G111" i="31"/>
  <c r="I111" i="31" s="1"/>
  <c r="D112" i="31"/>
  <c r="E112" i="31"/>
  <c r="H107" i="40"/>
  <c r="G107" i="40"/>
  <c r="I107" i="40" s="1"/>
  <c r="D108" i="40"/>
  <c r="E108" i="40"/>
  <c r="H106" i="44"/>
  <c r="D107" i="44"/>
  <c r="G106" i="44"/>
  <c r="I106" i="44" s="1"/>
  <c r="E107" i="44"/>
  <c r="H119" i="7"/>
  <c r="G119" i="7"/>
  <c r="I119" i="7" s="1"/>
  <c r="D120" i="7"/>
  <c r="E120" i="7"/>
  <c r="H111" i="47"/>
  <c r="I111" i="47"/>
  <c r="H115" i="22"/>
  <c r="D116" i="22"/>
  <c r="G115" i="22"/>
  <c r="I115" i="22" s="1"/>
  <c r="E116" i="22"/>
  <c r="H119" i="10"/>
  <c r="G119" i="10"/>
  <c r="I119" i="10" s="1"/>
  <c r="D120" i="10"/>
  <c r="E120" i="10"/>
  <c r="H114" i="23"/>
  <c r="G114" i="23"/>
  <c r="I114" i="23" s="1"/>
  <c r="D115" i="23"/>
  <c r="E115" i="23"/>
  <c r="H110" i="30"/>
  <c r="G110" i="30"/>
  <c r="I110" i="30" s="1"/>
  <c r="D111" i="30"/>
  <c r="E111" i="30"/>
  <c r="H108" i="41"/>
  <c r="G108" i="41"/>
  <c r="I108" i="41" s="1"/>
  <c r="D109" i="41"/>
  <c r="E109" i="41"/>
  <c r="H111" i="29"/>
  <c r="D112" i="29"/>
  <c r="G111" i="29"/>
  <c r="I111" i="29" s="1"/>
  <c r="E112" i="29"/>
  <c r="H105" i="46"/>
  <c r="H117" i="6"/>
  <c r="G117" i="6"/>
  <c r="I117" i="6" s="1"/>
  <c r="D118" i="6"/>
  <c r="E118" i="6"/>
  <c r="H111" i="28"/>
  <c r="G111" i="28"/>
  <c r="I111" i="28" s="1"/>
  <c r="D112" i="28"/>
  <c r="E112" i="28"/>
  <c r="H112" i="27"/>
  <c r="D113" i="27"/>
  <c r="G112" i="27"/>
  <c r="I112" i="27" s="1"/>
  <c r="E113" i="27"/>
  <c r="G106" i="45"/>
  <c r="I106" i="45" s="1"/>
  <c r="J106" i="45" s="1"/>
  <c r="D107" i="45"/>
  <c r="E107" i="45"/>
  <c r="H117" i="8"/>
  <c r="G117" i="8"/>
  <c r="I117" i="8" s="1"/>
  <c r="D118" i="8"/>
  <c r="E118" i="8"/>
  <c r="H108" i="39"/>
  <c r="G108" i="39"/>
  <c r="I108" i="39" s="1"/>
  <c r="D109" i="39"/>
  <c r="E109" i="39"/>
  <c r="H116" i="4"/>
  <c r="G116" i="4"/>
  <c r="I116" i="4" s="1"/>
  <c r="D117" i="4"/>
  <c r="E117" i="4"/>
  <c r="E111" i="48"/>
  <c r="F111" i="48" s="1"/>
  <c r="B111" i="48"/>
  <c r="H110" i="49"/>
  <c r="I110" i="49"/>
  <c r="H118" i="11"/>
  <c r="G118" i="11"/>
  <c r="I118" i="11" s="1"/>
  <c r="D119" i="11"/>
  <c r="E119" i="11"/>
  <c r="F111" i="49"/>
  <c r="H116" i="3"/>
  <c r="G116" i="3"/>
  <c r="I116" i="3" s="1"/>
  <c r="D117" i="3"/>
  <c r="E117" i="3"/>
  <c r="H118" i="9"/>
  <c r="G118" i="9"/>
  <c r="I118" i="9" s="1"/>
  <c r="D119" i="9"/>
  <c r="E119" i="9"/>
  <c r="H108" i="42"/>
  <c r="G108" i="42"/>
  <c r="I108" i="42" s="1"/>
  <c r="D109" i="42"/>
  <c r="B109" i="42" s="1"/>
  <c r="E109" i="42"/>
  <c r="H110" i="48"/>
  <c r="I110" i="48"/>
  <c r="F109" i="38" l="1"/>
  <c r="D110" i="38" s="1"/>
  <c r="B110" i="38" s="1"/>
  <c r="J118" i="11"/>
  <c r="J110" i="48"/>
  <c r="J111" i="47"/>
  <c r="J107" i="40"/>
  <c r="J108" i="37"/>
  <c r="J108" i="42"/>
  <c r="J118" i="9"/>
  <c r="J114" i="25"/>
  <c r="J115" i="22"/>
  <c r="G112" i="47"/>
  <c r="D113" i="47"/>
  <c r="F119" i="11"/>
  <c r="B119" i="11"/>
  <c r="F118" i="6"/>
  <c r="B118" i="6"/>
  <c r="B107" i="44"/>
  <c r="F107" i="44"/>
  <c r="J112" i="27"/>
  <c r="B117" i="4"/>
  <c r="F117" i="4"/>
  <c r="B118" i="8"/>
  <c r="F118" i="8"/>
  <c r="F113" i="27"/>
  <c r="B113" i="27"/>
  <c r="J117" i="6"/>
  <c r="F109" i="41"/>
  <c r="B109" i="41"/>
  <c r="B115" i="23"/>
  <c r="F115" i="23"/>
  <c r="F120" i="10"/>
  <c r="B120" i="10"/>
  <c r="F109" i="42"/>
  <c r="D112" i="49"/>
  <c r="G111" i="49"/>
  <c r="J116" i="4"/>
  <c r="J108" i="39"/>
  <c r="J117" i="8"/>
  <c r="B112" i="29"/>
  <c r="F112" i="29"/>
  <c r="J108" i="41"/>
  <c r="J110" i="30"/>
  <c r="J114" i="23"/>
  <c r="J119" i="10"/>
  <c r="B116" i="22"/>
  <c r="F116" i="22"/>
  <c r="J107" i="43"/>
  <c r="B114" i="24"/>
  <c r="F114" i="24"/>
  <c r="J105" i="46"/>
  <c r="J116" i="3"/>
  <c r="F112" i="28"/>
  <c r="B112" i="28"/>
  <c r="J119" i="7"/>
  <c r="J111" i="31"/>
  <c r="J116" i="5"/>
  <c r="D112" i="48"/>
  <c r="G111" i="48"/>
  <c r="B109" i="39"/>
  <c r="F109" i="39"/>
  <c r="B107" i="45"/>
  <c r="F107" i="45"/>
  <c r="H107" i="45" s="1"/>
  <c r="J111" i="28"/>
  <c r="J111" i="29"/>
  <c r="B111" i="30"/>
  <c r="F111" i="30"/>
  <c r="F119" i="9"/>
  <c r="B119" i="9"/>
  <c r="B117" i="3"/>
  <c r="F117" i="3"/>
  <c r="J110" i="49"/>
  <c r="F120" i="7"/>
  <c r="B120" i="7"/>
  <c r="J106" i="44"/>
  <c r="F108" i="40"/>
  <c r="B108" i="40"/>
  <c r="B112" i="31"/>
  <c r="F112" i="31"/>
  <c r="F117" i="5"/>
  <c r="B117" i="5"/>
  <c r="F109" i="37"/>
  <c r="B109" i="37"/>
  <c r="B115" i="25"/>
  <c r="F115" i="25"/>
  <c r="B108" i="43"/>
  <c r="F108" i="43"/>
  <c r="J113" i="24"/>
  <c r="F106" i="46"/>
  <c r="B106" i="46"/>
  <c r="E110" i="38" l="1"/>
  <c r="F110" i="38" s="1"/>
  <c r="H110" i="38" s="1"/>
  <c r="H109" i="38"/>
  <c r="G109" i="38"/>
  <c r="I109" i="38" s="1"/>
  <c r="H111" i="49"/>
  <c r="I111" i="49"/>
  <c r="H120" i="10"/>
  <c r="D121" i="10"/>
  <c r="G120" i="10"/>
  <c r="I120" i="10" s="1"/>
  <c r="E121" i="10"/>
  <c r="H117" i="4"/>
  <c r="G117" i="4"/>
  <c r="I117" i="4" s="1"/>
  <c r="D118" i="4"/>
  <c r="E118" i="4"/>
  <c r="H107" i="44"/>
  <c r="G107" i="44"/>
  <c r="I107" i="44" s="1"/>
  <c r="D108" i="44"/>
  <c r="E108" i="44"/>
  <c r="H108" i="43"/>
  <c r="G108" i="43"/>
  <c r="I108" i="43" s="1"/>
  <c r="D109" i="43"/>
  <c r="E109" i="43"/>
  <c r="H117" i="5"/>
  <c r="G117" i="5"/>
  <c r="I117" i="5" s="1"/>
  <c r="D118" i="5"/>
  <c r="E118" i="5"/>
  <c r="H108" i="40"/>
  <c r="G108" i="40"/>
  <c r="I108" i="40" s="1"/>
  <c r="D109" i="40"/>
  <c r="E109" i="40"/>
  <c r="H119" i="9"/>
  <c r="G119" i="9"/>
  <c r="I119" i="9" s="1"/>
  <c r="D120" i="9"/>
  <c r="E120" i="9"/>
  <c r="D108" i="45"/>
  <c r="G107" i="45"/>
  <c r="I107" i="45" s="1"/>
  <c r="J107" i="45" s="1"/>
  <c r="E108" i="45"/>
  <c r="I111" i="48"/>
  <c r="H111" i="48"/>
  <c r="H116" i="22"/>
  <c r="G116" i="22"/>
  <c r="I116" i="22" s="1"/>
  <c r="D117" i="22"/>
  <c r="E117" i="22"/>
  <c r="H112" i="29"/>
  <c r="G112" i="29"/>
  <c r="I112" i="29" s="1"/>
  <c r="D113" i="29"/>
  <c r="E113" i="29"/>
  <c r="E112" i="49"/>
  <c r="F112" i="49" s="1"/>
  <c r="B112" i="49"/>
  <c r="H115" i="23"/>
  <c r="D116" i="23"/>
  <c r="G115" i="23"/>
  <c r="I115" i="23" s="1"/>
  <c r="E116" i="23"/>
  <c r="D110" i="41"/>
  <c r="B110" i="41" s="1"/>
  <c r="G109" i="41"/>
  <c r="I109" i="41" s="1"/>
  <c r="E110" i="41"/>
  <c r="H113" i="27"/>
  <c r="D114" i="27"/>
  <c r="G113" i="27"/>
  <c r="I113" i="27" s="1"/>
  <c r="E114" i="27"/>
  <c r="H119" i="11"/>
  <c r="D120" i="11"/>
  <c r="G119" i="11"/>
  <c r="I119" i="11" s="1"/>
  <c r="E120" i="11"/>
  <c r="H115" i="25"/>
  <c r="D116" i="25"/>
  <c r="G115" i="25"/>
  <c r="I115" i="25" s="1"/>
  <c r="E116" i="25"/>
  <c r="H120" i="7"/>
  <c r="G120" i="7"/>
  <c r="I120" i="7" s="1"/>
  <c r="D121" i="7"/>
  <c r="E121" i="7"/>
  <c r="H111" i="30"/>
  <c r="G111" i="30"/>
  <c r="I111" i="30" s="1"/>
  <c r="D112" i="30"/>
  <c r="E112" i="30"/>
  <c r="E112" i="48"/>
  <c r="F112" i="48" s="1"/>
  <c r="B112" i="48"/>
  <c r="H112" i="28"/>
  <c r="G112" i="28"/>
  <c r="I112" i="28" s="1"/>
  <c r="D113" i="28"/>
  <c r="E113" i="28"/>
  <c r="H114" i="24"/>
  <c r="G114" i="24"/>
  <c r="I114" i="24" s="1"/>
  <c r="D115" i="24"/>
  <c r="E115" i="24"/>
  <c r="H109" i="42"/>
  <c r="G109" i="42"/>
  <c r="I109" i="42" s="1"/>
  <c r="D110" i="42"/>
  <c r="B110" i="42" s="1"/>
  <c r="E110" i="42"/>
  <c r="H118" i="8"/>
  <c r="G118" i="8"/>
  <c r="I118" i="8" s="1"/>
  <c r="D119" i="8"/>
  <c r="E119" i="8"/>
  <c r="E113" i="47"/>
  <c r="F113" i="47" s="1"/>
  <c r="B113" i="47"/>
  <c r="H112" i="31"/>
  <c r="D113" i="31"/>
  <c r="G112" i="31"/>
  <c r="I112" i="31" s="1"/>
  <c r="E113" i="31"/>
  <c r="H117" i="3"/>
  <c r="G117" i="3"/>
  <c r="I117" i="3" s="1"/>
  <c r="D118" i="3"/>
  <c r="E118" i="3"/>
  <c r="H106" i="46"/>
  <c r="G106" i="46"/>
  <c r="I106" i="46" s="1"/>
  <c r="D107" i="46"/>
  <c r="E107" i="46"/>
  <c r="H109" i="37"/>
  <c r="G109" i="37"/>
  <c r="I109" i="37" s="1"/>
  <c r="D110" i="37"/>
  <c r="E110" i="37"/>
  <c r="H109" i="39"/>
  <c r="G109" i="39"/>
  <c r="I109" i="39" s="1"/>
  <c r="D110" i="39"/>
  <c r="E110" i="39"/>
  <c r="H109" i="41"/>
  <c r="H118" i="6"/>
  <c r="D119" i="6"/>
  <c r="G118" i="6"/>
  <c r="I118" i="6" s="1"/>
  <c r="E119" i="6"/>
  <c r="I112" i="47"/>
  <c r="H112" i="47"/>
  <c r="D111" i="38" l="1"/>
  <c r="B111" i="38" s="1"/>
  <c r="E111" i="38"/>
  <c r="G110" i="38"/>
  <c r="I110" i="38" s="1"/>
  <c r="J110" i="38" s="1"/>
  <c r="J109" i="38"/>
  <c r="J115" i="25"/>
  <c r="J119" i="11"/>
  <c r="J113" i="27"/>
  <c r="F110" i="41"/>
  <c r="G110" i="41" s="1"/>
  <c r="I110" i="41" s="1"/>
  <c r="J115" i="23"/>
  <c r="J112" i="31"/>
  <c r="J111" i="30"/>
  <c r="J120" i="7"/>
  <c r="J119" i="9"/>
  <c r="J108" i="40"/>
  <c r="J117" i="5"/>
  <c r="J108" i="43"/>
  <c r="J107" i="44"/>
  <c r="J117" i="4"/>
  <c r="J112" i="47"/>
  <c r="J109" i="39"/>
  <c r="J109" i="37"/>
  <c r="J106" i="46"/>
  <c r="J117" i="3"/>
  <c r="J111" i="49"/>
  <c r="D114" i="47"/>
  <c r="G113" i="47"/>
  <c r="D113" i="49"/>
  <c r="G112" i="49"/>
  <c r="F121" i="10"/>
  <c r="B121" i="10"/>
  <c r="F110" i="42"/>
  <c r="D113" i="48"/>
  <c r="G112" i="48"/>
  <c r="B112" i="30"/>
  <c r="F112" i="30"/>
  <c r="B121" i="7"/>
  <c r="F121" i="7"/>
  <c r="J109" i="41"/>
  <c r="B116" i="23"/>
  <c r="F116" i="23"/>
  <c r="B108" i="45"/>
  <c r="F108" i="45"/>
  <c r="B113" i="31"/>
  <c r="F113" i="31"/>
  <c r="J118" i="6"/>
  <c r="B119" i="8"/>
  <c r="F119" i="8"/>
  <c r="B115" i="24"/>
  <c r="F115" i="24"/>
  <c r="B113" i="28"/>
  <c r="F113" i="28"/>
  <c r="F116" i="25"/>
  <c r="B116" i="25"/>
  <c r="B120" i="11"/>
  <c r="F120" i="11"/>
  <c r="B114" i="27"/>
  <c r="F114" i="27"/>
  <c r="B113" i="29"/>
  <c r="F113" i="29"/>
  <c r="B117" i="22"/>
  <c r="F117" i="22"/>
  <c r="J111" i="48"/>
  <c r="B119" i="6"/>
  <c r="F119" i="6"/>
  <c r="F110" i="39"/>
  <c r="B110" i="39"/>
  <c r="B110" i="37"/>
  <c r="F110" i="37"/>
  <c r="B107" i="46"/>
  <c r="F107" i="46"/>
  <c r="H107" i="46" s="1"/>
  <c r="B118" i="3"/>
  <c r="F118" i="3"/>
  <c r="J118" i="8"/>
  <c r="J109" i="42"/>
  <c r="J114" i="24"/>
  <c r="J112" i="28"/>
  <c r="J112" i="29"/>
  <c r="J116" i="22"/>
  <c r="B120" i="9"/>
  <c r="F120" i="9"/>
  <c r="B109" i="40"/>
  <c r="F109" i="40"/>
  <c r="B118" i="5"/>
  <c r="F118" i="5"/>
  <c r="F109" i="43"/>
  <c r="B109" i="43"/>
  <c r="B108" i="44"/>
  <c r="F108" i="44"/>
  <c r="B118" i="4"/>
  <c r="F118" i="4"/>
  <c r="J120" i="10"/>
  <c r="F111" i="38" l="1"/>
  <c r="H110" i="41"/>
  <c r="J110" i="41" s="1"/>
  <c r="E111" i="41"/>
  <c r="D111" i="41"/>
  <c r="B111" i="41" s="1"/>
  <c r="H118" i="5"/>
  <c r="G118" i="5"/>
  <c r="I118" i="5" s="1"/>
  <c r="D119" i="5"/>
  <c r="E119" i="5"/>
  <c r="H110" i="39"/>
  <c r="G110" i="39"/>
  <c r="I110" i="39" s="1"/>
  <c r="D111" i="39"/>
  <c r="E111" i="39"/>
  <c r="H116" i="23"/>
  <c r="G116" i="23"/>
  <c r="I116" i="23" s="1"/>
  <c r="D117" i="23"/>
  <c r="E117" i="23"/>
  <c r="H110" i="37"/>
  <c r="G110" i="37"/>
  <c r="I110" i="37" s="1"/>
  <c r="D111" i="37"/>
  <c r="E111" i="37"/>
  <c r="H119" i="6"/>
  <c r="G119" i="6"/>
  <c r="I119" i="6" s="1"/>
  <c r="D120" i="6"/>
  <c r="E120" i="6"/>
  <c r="H116" i="25"/>
  <c r="D117" i="25"/>
  <c r="G116" i="25"/>
  <c r="I116" i="25" s="1"/>
  <c r="E117" i="25"/>
  <c r="H113" i="31"/>
  <c r="G113" i="31"/>
  <c r="I113" i="31" s="1"/>
  <c r="D114" i="31"/>
  <c r="E114" i="31"/>
  <c r="H112" i="30"/>
  <c r="G112" i="30"/>
  <c r="I112" i="30" s="1"/>
  <c r="D113" i="30"/>
  <c r="E113" i="30"/>
  <c r="H110" i="42"/>
  <c r="D111" i="42"/>
  <c r="G110" i="42"/>
  <c r="I110" i="42" s="1"/>
  <c r="E111" i="42"/>
  <c r="E113" i="49"/>
  <c r="F113" i="49" s="1"/>
  <c r="B113" i="49"/>
  <c r="H108" i="44"/>
  <c r="D109" i="44"/>
  <c r="B109" i="44" s="1"/>
  <c r="G108" i="44"/>
  <c r="I108" i="44" s="1"/>
  <c r="E109" i="44"/>
  <c r="H118" i="3"/>
  <c r="G118" i="3"/>
  <c r="I118" i="3" s="1"/>
  <c r="D119" i="3"/>
  <c r="E119" i="3"/>
  <c r="H114" i="27"/>
  <c r="G114" i="27"/>
  <c r="I114" i="27" s="1"/>
  <c r="D115" i="27"/>
  <c r="E115" i="27"/>
  <c r="E113" i="48"/>
  <c r="F113" i="48" s="1"/>
  <c r="B113" i="48"/>
  <c r="H113" i="29"/>
  <c r="D114" i="29"/>
  <c r="G113" i="29"/>
  <c r="I113" i="29" s="1"/>
  <c r="E114" i="29"/>
  <c r="H120" i="11"/>
  <c r="G120" i="11"/>
  <c r="I120" i="11" s="1"/>
  <c r="D121" i="11"/>
  <c r="E121" i="11"/>
  <c r="H113" i="28"/>
  <c r="D114" i="28"/>
  <c r="G113" i="28"/>
  <c r="I113" i="28" s="1"/>
  <c r="E114" i="28"/>
  <c r="H119" i="8"/>
  <c r="G119" i="8"/>
  <c r="I119" i="8" s="1"/>
  <c r="D120" i="8"/>
  <c r="E120" i="8"/>
  <c r="I113" i="47"/>
  <c r="H113" i="47"/>
  <c r="H120" i="9"/>
  <c r="D121" i="9"/>
  <c r="G120" i="9"/>
  <c r="I120" i="9" s="1"/>
  <c r="E121" i="9"/>
  <c r="H117" i="22"/>
  <c r="G117" i="22"/>
  <c r="I117" i="22" s="1"/>
  <c r="D118" i="22"/>
  <c r="E118" i="22"/>
  <c r="H115" i="24"/>
  <c r="G115" i="24"/>
  <c r="I115" i="24" s="1"/>
  <c r="D116" i="24"/>
  <c r="E116" i="24"/>
  <c r="I112" i="49"/>
  <c r="H112" i="49"/>
  <c r="H118" i="4"/>
  <c r="D119" i="4"/>
  <c r="G118" i="4"/>
  <c r="I118" i="4" s="1"/>
  <c r="E119" i="4"/>
  <c r="H109" i="40"/>
  <c r="G109" i="40"/>
  <c r="I109" i="40" s="1"/>
  <c r="D110" i="40"/>
  <c r="E110" i="40"/>
  <c r="H109" i="43"/>
  <c r="G109" i="43"/>
  <c r="I109" i="43" s="1"/>
  <c r="D110" i="43"/>
  <c r="E110" i="43"/>
  <c r="D108" i="46"/>
  <c r="G107" i="46"/>
  <c r="I107" i="46" s="1"/>
  <c r="J107" i="46" s="1"/>
  <c r="E108" i="46"/>
  <c r="H108" i="45"/>
  <c r="D109" i="45"/>
  <c r="G108" i="45"/>
  <c r="I108" i="45" s="1"/>
  <c r="E109" i="45"/>
  <c r="H121" i="7"/>
  <c r="D122" i="7"/>
  <c r="G121" i="7"/>
  <c r="I121" i="7" s="1"/>
  <c r="E122" i="7"/>
  <c r="H112" i="48"/>
  <c r="I112" i="48"/>
  <c r="H121" i="10"/>
  <c r="D122" i="10"/>
  <c r="G121" i="10"/>
  <c r="I121" i="10" s="1"/>
  <c r="E122" i="10"/>
  <c r="E114" i="47"/>
  <c r="F114" i="47" s="1"/>
  <c r="B114" i="47"/>
  <c r="H111" i="38" l="1"/>
  <c r="E112" i="38"/>
  <c r="D112" i="38"/>
  <c r="G111" i="38"/>
  <c r="I111" i="38" s="1"/>
  <c r="J111" i="38" s="1"/>
  <c r="F111" i="41"/>
  <c r="G111" i="41" s="1"/>
  <c r="I111" i="41" s="1"/>
  <c r="J120" i="9"/>
  <c r="J115" i="24"/>
  <c r="J109" i="43"/>
  <c r="J117" i="22"/>
  <c r="J109" i="40"/>
  <c r="J121" i="7"/>
  <c r="J108" i="45"/>
  <c r="J119" i="8"/>
  <c r="J120" i="11"/>
  <c r="F109" i="44"/>
  <c r="D110" i="44" s="1"/>
  <c r="B110" i="44" s="1"/>
  <c r="J110" i="42"/>
  <c r="J116" i="25"/>
  <c r="J112" i="30"/>
  <c r="J113" i="31"/>
  <c r="J119" i="6"/>
  <c r="J110" i="37"/>
  <c r="J116" i="23"/>
  <c r="J110" i="39"/>
  <c r="J118" i="5"/>
  <c r="D114" i="48"/>
  <c r="G113" i="48"/>
  <c r="D115" i="47"/>
  <c r="G114" i="47"/>
  <c r="J112" i="48"/>
  <c r="F122" i="7"/>
  <c r="B122" i="7"/>
  <c r="B109" i="45"/>
  <c r="F109" i="45"/>
  <c r="H109" i="45" s="1"/>
  <c r="B108" i="46"/>
  <c r="F108" i="46"/>
  <c r="F116" i="24"/>
  <c r="B116" i="24"/>
  <c r="B118" i="22"/>
  <c r="F118" i="22"/>
  <c r="J113" i="47"/>
  <c r="G113" i="49"/>
  <c r="D114" i="49"/>
  <c r="B113" i="30"/>
  <c r="F113" i="30"/>
  <c r="F114" i="31"/>
  <c r="B114" i="31"/>
  <c r="B120" i="6"/>
  <c r="F120" i="6"/>
  <c r="B111" i="37"/>
  <c r="F111" i="37"/>
  <c r="B117" i="23"/>
  <c r="F117" i="23"/>
  <c r="F111" i="39"/>
  <c r="B111" i="39"/>
  <c r="B119" i="5"/>
  <c r="F119" i="5"/>
  <c r="B114" i="28"/>
  <c r="F114" i="28"/>
  <c r="F115" i="27"/>
  <c r="B115" i="27"/>
  <c r="B119" i="3"/>
  <c r="F119" i="3"/>
  <c r="J108" i="44"/>
  <c r="F111" i="42"/>
  <c r="B111" i="42"/>
  <c r="F117" i="25"/>
  <c r="B117" i="25"/>
  <c r="B119" i="4"/>
  <c r="F119" i="4"/>
  <c r="B114" i="29"/>
  <c r="F114" i="29"/>
  <c r="J121" i="10"/>
  <c r="F121" i="9"/>
  <c r="B121" i="9"/>
  <c r="B122" i="10"/>
  <c r="F122" i="10"/>
  <c r="B110" i="43"/>
  <c r="F110" i="43"/>
  <c r="F110" i="40"/>
  <c r="B110" i="40"/>
  <c r="J118" i="4"/>
  <c r="J112" i="49"/>
  <c r="B120" i="8"/>
  <c r="F120" i="8"/>
  <c r="J113" i="28"/>
  <c r="F121" i="11"/>
  <c r="B121" i="11"/>
  <c r="J113" i="29"/>
  <c r="J114" i="27"/>
  <c r="J118" i="3"/>
  <c r="B112" i="38" l="1"/>
  <c r="F112" i="38"/>
  <c r="H112" i="38"/>
  <c r="D112" i="41"/>
  <c r="H111" i="41"/>
  <c r="J111" i="41" s="1"/>
  <c r="E112" i="41"/>
  <c r="E110" i="44"/>
  <c r="G109" i="44"/>
  <c r="I109" i="44" s="1"/>
  <c r="H109" i="44"/>
  <c r="H122" i="10"/>
  <c r="G122" i="10"/>
  <c r="I122" i="10" s="1"/>
  <c r="D123" i="10"/>
  <c r="E123" i="10"/>
  <c r="H111" i="42"/>
  <c r="D112" i="42"/>
  <c r="G111" i="42"/>
  <c r="I111" i="42" s="1"/>
  <c r="E112" i="42"/>
  <c r="H117" i="23"/>
  <c r="G117" i="23"/>
  <c r="I117" i="23" s="1"/>
  <c r="D118" i="23"/>
  <c r="E118" i="23"/>
  <c r="H115" i="27"/>
  <c r="G115" i="27"/>
  <c r="I115" i="27" s="1"/>
  <c r="D116" i="27"/>
  <c r="E116" i="27"/>
  <c r="E114" i="49"/>
  <c r="F114" i="49" s="1"/>
  <c r="B114" i="49"/>
  <c r="E115" i="47"/>
  <c r="F115" i="47" s="1"/>
  <c r="B115" i="47"/>
  <c r="H119" i="5"/>
  <c r="G119" i="5"/>
  <c r="I119" i="5" s="1"/>
  <c r="D120" i="5"/>
  <c r="E120" i="5"/>
  <c r="H114" i="29"/>
  <c r="G114" i="29"/>
  <c r="I114" i="29" s="1"/>
  <c r="D115" i="29"/>
  <c r="E115" i="29"/>
  <c r="H121" i="11"/>
  <c r="D122" i="11"/>
  <c r="G121" i="11"/>
  <c r="I121" i="11" s="1"/>
  <c r="E122" i="11"/>
  <c r="H117" i="25"/>
  <c r="G117" i="25"/>
  <c r="I117" i="25" s="1"/>
  <c r="D118" i="25"/>
  <c r="E118" i="25"/>
  <c r="H119" i="3"/>
  <c r="G119" i="3"/>
  <c r="I119" i="3" s="1"/>
  <c r="D120" i="3"/>
  <c r="E120" i="3"/>
  <c r="H114" i="28"/>
  <c r="G114" i="28"/>
  <c r="I114" i="28" s="1"/>
  <c r="D115" i="28"/>
  <c r="E115" i="28"/>
  <c r="H111" i="37"/>
  <c r="G111" i="37"/>
  <c r="I111" i="37" s="1"/>
  <c r="D112" i="37"/>
  <c r="E112" i="37"/>
  <c r="H113" i="49"/>
  <c r="I113" i="49"/>
  <c r="H122" i="7"/>
  <c r="G122" i="7"/>
  <c r="I122" i="7" s="1"/>
  <c r="D123" i="7"/>
  <c r="E123" i="7"/>
  <c r="H113" i="48"/>
  <c r="I113" i="48"/>
  <c r="H120" i="8"/>
  <c r="G120" i="8"/>
  <c r="I120" i="8" s="1"/>
  <c r="D121" i="8"/>
  <c r="E121" i="8"/>
  <c r="H120" i="6"/>
  <c r="G120" i="6"/>
  <c r="I120" i="6" s="1"/>
  <c r="D121" i="6"/>
  <c r="E121" i="6"/>
  <c r="H118" i="22"/>
  <c r="G118" i="22"/>
  <c r="I118" i="22" s="1"/>
  <c r="D119" i="22"/>
  <c r="E119" i="22"/>
  <c r="H108" i="46"/>
  <c r="G108" i="46"/>
  <c r="I108" i="46" s="1"/>
  <c r="D109" i="46"/>
  <c r="E109" i="46"/>
  <c r="H114" i="47"/>
  <c r="I114" i="47"/>
  <c r="H110" i="40"/>
  <c r="D111" i="40"/>
  <c r="G110" i="40"/>
  <c r="I110" i="40" s="1"/>
  <c r="E111" i="40"/>
  <c r="H110" i="43"/>
  <c r="G110" i="43"/>
  <c r="I110" i="43" s="1"/>
  <c r="D111" i="43"/>
  <c r="E111" i="43"/>
  <c r="H121" i="9"/>
  <c r="G121" i="9"/>
  <c r="I121" i="9" s="1"/>
  <c r="D122" i="9"/>
  <c r="E122" i="9"/>
  <c r="H119" i="4"/>
  <c r="G119" i="4"/>
  <c r="I119" i="4" s="1"/>
  <c r="D120" i="4"/>
  <c r="E120" i="4"/>
  <c r="H111" i="39"/>
  <c r="G111" i="39"/>
  <c r="I111" i="39" s="1"/>
  <c r="D112" i="39"/>
  <c r="E112" i="39"/>
  <c r="H114" i="31"/>
  <c r="D115" i="31"/>
  <c r="G114" i="31"/>
  <c r="I114" i="31" s="1"/>
  <c r="E115" i="31"/>
  <c r="H113" i="30"/>
  <c r="G113" i="30"/>
  <c r="I113" i="30" s="1"/>
  <c r="D114" i="30"/>
  <c r="E114" i="30"/>
  <c r="F110" i="44"/>
  <c r="H116" i="24"/>
  <c r="G116" i="24"/>
  <c r="I116" i="24" s="1"/>
  <c r="D117" i="24"/>
  <c r="E117" i="24"/>
  <c r="G109" i="45"/>
  <c r="I109" i="45" s="1"/>
  <c r="J109" i="45" s="1"/>
  <c r="D110" i="45"/>
  <c r="E110" i="45"/>
  <c r="E114" i="48"/>
  <c r="F114" i="48" s="1"/>
  <c r="B114" i="48"/>
  <c r="G112" i="38" l="1"/>
  <c r="I112" i="38" s="1"/>
  <c r="J112" i="38" s="1"/>
  <c r="E113" i="38"/>
  <c r="D113" i="38"/>
  <c r="J109" i="44"/>
  <c r="B112" i="41"/>
  <c r="F112" i="41"/>
  <c r="J115" i="27"/>
  <c r="J117" i="23"/>
  <c r="J122" i="10"/>
  <c r="J113" i="30"/>
  <c r="J111" i="39"/>
  <c r="J113" i="48"/>
  <c r="J119" i="4"/>
  <c r="J121" i="9"/>
  <c r="J110" i="43"/>
  <c r="J122" i="7"/>
  <c r="J114" i="31"/>
  <c r="J110" i="40"/>
  <c r="J114" i="47"/>
  <c r="J108" i="46"/>
  <c r="J118" i="22"/>
  <c r="J120" i="6"/>
  <c r="J120" i="8"/>
  <c r="J111" i="37"/>
  <c r="J114" i="28"/>
  <c r="J119" i="3"/>
  <c r="J117" i="25"/>
  <c r="J114" i="29"/>
  <c r="J119" i="5"/>
  <c r="J111" i="42"/>
  <c r="D116" i="47"/>
  <c r="B116" i="47" s="1"/>
  <c r="G115" i="47"/>
  <c r="E116" i="47"/>
  <c r="B110" i="45"/>
  <c r="F110" i="45"/>
  <c r="J116" i="24"/>
  <c r="F114" i="30"/>
  <c r="B114" i="30"/>
  <c r="F112" i="39"/>
  <c r="B112" i="39"/>
  <c r="B120" i="4"/>
  <c r="F120" i="4"/>
  <c r="B122" i="9"/>
  <c r="F122" i="9"/>
  <c r="B111" i="43"/>
  <c r="F111" i="43"/>
  <c r="B123" i="7"/>
  <c r="F123" i="7"/>
  <c r="J113" i="49"/>
  <c r="D115" i="49"/>
  <c r="G114" i="49"/>
  <c r="F116" i="27"/>
  <c r="B116" i="27"/>
  <c r="B118" i="23"/>
  <c r="F118" i="23"/>
  <c r="F123" i="10"/>
  <c r="B123" i="10"/>
  <c r="B122" i="11"/>
  <c r="F122" i="11"/>
  <c r="B115" i="31"/>
  <c r="F115" i="31"/>
  <c r="B111" i="40"/>
  <c r="F111" i="40"/>
  <c r="F112" i="42"/>
  <c r="B112" i="42"/>
  <c r="B117" i="24"/>
  <c r="F117" i="24"/>
  <c r="D115" i="48"/>
  <c r="G114" i="48"/>
  <c r="H110" i="44"/>
  <c r="G110" i="44"/>
  <c r="I110" i="44" s="1"/>
  <c r="D111" i="44"/>
  <c r="B111" i="44" s="1"/>
  <c r="E111" i="44"/>
  <c r="B109" i="46"/>
  <c r="F109" i="46"/>
  <c r="H109" i="46" s="1"/>
  <c r="F119" i="22"/>
  <c r="B119" i="22"/>
  <c r="F121" i="6"/>
  <c r="B121" i="6"/>
  <c r="B121" i="8"/>
  <c r="F121" i="8"/>
  <c r="B112" i="37"/>
  <c r="F112" i="37"/>
  <c r="B115" i="28"/>
  <c r="F115" i="28"/>
  <c r="B120" i="3"/>
  <c r="F120" i="3"/>
  <c r="B118" i="25"/>
  <c r="F118" i="25"/>
  <c r="J121" i="11"/>
  <c r="B115" i="29"/>
  <c r="F115" i="29"/>
  <c r="B120" i="5"/>
  <c r="F120" i="5"/>
  <c r="F113" i="38" l="1"/>
  <c r="B113" i="38"/>
  <c r="D113" i="41"/>
  <c r="E113" i="41"/>
  <c r="G112" i="41"/>
  <c r="I112" i="41" s="1"/>
  <c r="H112" i="41"/>
  <c r="F116" i="47"/>
  <c r="G116" i="47" s="1"/>
  <c r="H115" i="28"/>
  <c r="G115" i="28"/>
  <c r="I115" i="28" s="1"/>
  <c r="D116" i="28"/>
  <c r="E116" i="28"/>
  <c r="H118" i="23"/>
  <c r="G118" i="23"/>
  <c r="I118" i="23" s="1"/>
  <c r="D119" i="23"/>
  <c r="E119" i="23"/>
  <c r="H110" i="45"/>
  <c r="G110" i="45"/>
  <c r="I110" i="45" s="1"/>
  <c r="D111" i="45"/>
  <c r="E111" i="45"/>
  <c r="H115" i="29"/>
  <c r="G115" i="29"/>
  <c r="I115" i="29" s="1"/>
  <c r="D116" i="29"/>
  <c r="E116" i="29"/>
  <c r="H119" i="22"/>
  <c r="G119" i="22"/>
  <c r="I119" i="22" s="1"/>
  <c r="D120" i="22"/>
  <c r="E120" i="22"/>
  <c r="F111" i="44"/>
  <c r="I114" i="48"/>
  <c r="H114" i="48"/>
  <c r="E115" i="49"/>
  <c r="F115" i="49" s="1"/>
  <c r="B115" i="49"/>
  <c r="H111" i="43"/>
  <c r="G111" i="43"/>
  <c r="I111" i="43" s="1"/>
  <c r="D112" i="43"/>
  <c r="E112" i="43"/>
  <c r="H120" i="4"/>
  <c r="G120" i="4"/>
  <c r="I120" i="4" s="1"/>
  <c r="D121" i="4"/>
  <c r="E121" i="4"/>
  <c r="H122" i="11"/>
  <c r="G122" i="11"/>
  <c r="I122" i="11" s="1"/>
  <c r="D123" i="11"/>
  <c r="E123" i="11"/>
  <c r="H112" i="39"/>
  <c r="G112" i="39"/>
  <c r="I112" i="39" s="1"/>
  <c r="D113" i="39"/>
  <c r="E113" i="39"/>
  <c r="H112" i="37"/>
  <c r="G112" i="37"/>
  <c r="I112" i="37" s="1"/>
  <c r="D113" i="37"/>
  <c r="E113" i="37"/>
  <c r="E115" i="48"/>
  <c r="F115" i="48" s="1"/>
  <c r="B115" i="48"/>
  <c r="H112" i="42"/>
  <c r="D113" i="42"/>
  <c r="G112" i="42"/>
  <c r="I112" i="42" s="1"/>
  <c r="E113" i="42"/>
  <c r="H115" i="31"/>
  <c r="G115" i="31"/>
  <c r="I115" i="31" s="1"/>
  <c r="D116" i="31"/>
  <c r="E116" i="31"/>
  <c r="H114" i="30"/>
  <c r="D115" i="30"/>
  <c r="G114" i="30"/>
  <c r="I114" i="30" s="1"/>
  <c r="E115" i="30"/>
  <c r="I115" i="47"/>
  <c r="H115" i="47"/>
  <c r="H118" i="25"/>
  <c r="G118" i="25"/>
  <c r="I118" i="25" s="1"/>
  <c r="D119" i="25"/>
  <c r="E119" i="25"/>
  <c r="H121" i="8"/>
  <c r="D122" i="8"/>
  <c r="G121" i="8"/>
  <c r="I121" i="8" s="1"/>
  <c r="E122" i="8"/>
  <c r="H111" i="40"/>
  <c r="D112" i="40"/>
  <c r="G111" i="40"/>
  <c r="I111" i="40" s="1"/>
  <c r="E112" i="40"/>
  <c r="H114" i="49"/>
  <c r="I114" i="49"/>
  <c r="H120" i="5"/>
  <c r="D121" i="5"/>
  <c r="G120" i="5"/>
  <c r="I120" i="5" s="1"/>
  <c r="E121" i="5"/>
  <c r="H120" i="3"/>
  <c r="D121" i="3"/>
  <c r="G120" i="3"/>
  <c r="I120" i="3" s="1"/>
  <c r="E121" i="3"/>
  <c r="H121" i="6"/>
  <c r="G121" i="6"/>
  <c r="I121" i="6" s="1"/>
  <c r="D122" i="6"/>
  <c r="E122" i="6"/>
  <c r="D110" i="46"/>
  <c r="G109" i="46"/>
  <c r="I109" i="46" s="1"/>
  <c r="J109" i="46" s="1"/>
  <c r="E110" i="46"/>
  <c r="J110" i="44"/>
  <c r="H117" i="24"/>
  <c r="G117" i="24"/>
  <c r="I117" i="24" s="1"/>
  <c r="D118" i="24"/>
  <c r="E118" i="24"/>
  <c r="H123" i="10"/>
  <c r="G123" i="10"/>
  <c r="I123" i="10" s="1"/>
  <c r="D124" i="10"/>
  <c r="E124" i="10"/>
  <c r="H116" i="27"/>
  <c r="G116" i="27"/>
  <c r="I116" i="27" s="1"/>
  <c r="D117" i="27"/>
  <c r="E117" i="27"/>
  <c r="H123" i="7"/>
  <c r="G123" i="7"/>
  <c r="I123" i="7" s="1"/>
  <c r="D124" i="7"/>
  <c r="E124" i="7"/>
  <c r="H122" i="9"/>
  <c r="G122" i="9"/>
  <c r="I122" i="9" s="1"/>
  <c r="D123" i="9"/>
  <c r="E123" i="9"/>
  <c r="D117" i="47" l="1"/>
  <c r="H113" i="38"/>
  <c r="E114" i="38"/>
  <c r="D114" i="38"/>
  <c r="G113" i="38"/>
  <c r="I113" i="38" s="1"/>
  <c r="J112" i="41"/>
  <c r="B113" i="41"/>
  <c r="F113" i="41"/>
  <c r="H113" i="41" s="1"/>
  <c r="J119" i="22"/>
  <c r="J115" i="29"/>
  <c r="J110" i="45"/>
  <c r="J118" i="23"/>
  <c r="J115" i="28"/>
  <c r="J111" i="40"/>
  <c r="J121" i="8"/>
  <c r="J112" i="37"/>
  <c r="J112" i="39"/>
  <c r="J122" i="11"/>
  <c r="J115" i="47"/>
  <c r="J120" i="4"/>
  <c r="J111" i="43"/>
  <c r="G115" i="49"/>
  <c r="D116" i="49"/>
  <c r="F110" i="46"/>
  <c r="B110" i="46"/>
  <c r="B119" i="25"/>
  <c r="F119" i="25"/>
  <c r="E117" i="47"/>
  <c r="F117" i="47" s="1"/>
  <c r="B117" i="47"/>
  <c r="J114" i="49"/>
  <c r="B112" i="40"/>
  <c r="F112" i="40"/>
  <c r="B122" i="8"/>
  <c r="F122" i="8"/>
  <c r="J118" i="25"/>
  <c r="D116" i="48"/>
  <c r="G115" i="48"/>
  <c r="B113" i="37"/>
  <c r="F113" i="37"/>
  <c r="F113" i="39"/>
  <c r="B113" i="39"/>
  <c r="B123" i="11"/>
  <c r="F123" i="11"/>
  <c r="I116" i="47"/>
  <c r="H116" i="47"/>
  <c r="B120" i="22"/>
  <c r="F120" i="22"/>
  <c r="B116" i="29"/>
  <c r="F116" i="29"/>
  <c r="B111" i="45"/>
  <c r="F111" i="45"/>
  <c r="H111" i="45" s="1"/>
  <c r="B119" i="23"/>
  <c r="F119" i="23"/>
  <c r="B116" i="28"/>
  <c r="F116" i="28"/>
  <c r="B123" i="9"/>
  <c r="F123" i="9"/>
  <c r="B117" i="27"/>
  <c r="F117" i="27"/>
  <c r="B118" i="24"/>
  <c r="F118" i="24"/>
  <c r="J120" i="3"/>
  <c r="J120" i="5"/>
  <c r="J114" i="30"/>
  <c r="B116" i="31"/>
  <c r="F116" i="31"/>
  <c r="J112" i="42"/>
  <c r="J114" i="48"/>
  <c r="B124" i="7"/>
  <c r="F124" i="7"/>
  <c r="F124" i="10"/>
  <c r="B124" i="10"/>
  <c r="B122" i="6"/>
  <c r="F122" i="6"/>
  <c r="J122" i="9"/>
  <c r="J123" i="7"/>
  <c r="J116" i="27"/>
  <c r="J123" i="10"/>
  <c r="J117" i="24"/>
  <c r="J121" i="6"/>
  <c r="B121" i="3"/>
  <c r="F121" i="3"/>
  <c r="B121" i="5"/>
  <c r="F121" i="5"/>
  <c r="B115" i="30"/>
  <c r="F115" i="30"/>
  <c r="J115" i="31"/>
  <c r="B113" i="42"/>
  <c r="F113" i="42"/>
  <c r="H113" i="42" s="1"/>
  <c r="B121" i="4"/>
  <c r="F121" i="4"/>
  <c r="B112" i="43"/>
  <c r="F112" i="43"/>
  <c r="H111" i="44"/>
  <c r="G111" i="44"/>
  <c r="I111" i="44" s="1"/>
  <c r="D112" i="44"/>
  <c r="E112" i="44"/>
  <c r="J113" i="38" l="1"/>
  <c r="B114" i="38"/>
  <c r="F114" i="38"/>
  <c r="E114" i="41"/>
  <c r="D114" i="41"/>
  <c r="G113" i="41"/>
  <c r="I113" i="41" s="1"/>
  <c r="J113" i="41" s="1"/>
  <c r="J116" i="47"/>
  <c r="J111" i="44"/>
  <c r="H124" i="10"/>
  <c r="G124" i="10"/>
  <c r="I124" i="10" s="1"/>
  <c r="D125" i="10"/>
  <c r="E125" i="10"/>
  <c r="H117" i="27"/>
  <c r="D118" i="27"/>
  <c r="G117" i="27"/>
  <c r="I117" i="27" s="1"/>
  <c r="E118" i="27"/>
  <c r="H113" i="39"/>
  <c r="G113" i="39"/>
  <c r="I113" i="39" s="1"/>
  <c r="D114" i="39"/>
  <c r="E114" i="39"/>
  <c r="D118" i="47"/>
  <c r="B118" i="47" s="1"/>
  <c r="G117" i="47"/>
  <c r="E118" i="47"/>
  <c r="H124" i="7"/>
  <c r="G124" i="7"/>
  <c r="I124" i="7" s="1"/>
  <c r="D125" i="7"/>
  <c r="E125" i="7"/>
  <c r="H116" i="31"/>
  <c r="G116" i="31"/>
  <c r="I116" i="31" s="1"/>
  <c r="D117" i="31"/>
  <c r="E117" i="31"/>
  <c r="D112" i="45"/>
  <c r="B112" i="45" s="1"/>
  <c r="G111" i="45"/>
  <c r="I111" i="45" s="1"/>
  <c r="J111" i="45" s="1"/>
  <c r="E112" i="45"/>
  <c r="H120" i="22"/>
  <c r="D121" i="22"/>
  <c r="G120" i="22"/>
  <c r="I120" i="22" s="1"/>
  <c r="E121" i="22"/>
  <c r="H123" i="11"/>
  <c r="G123" i="11"/>
  <c r="I123" i="11" s="1"/>
  <c r="D124" i="11"/>
  <c r="E124" i="11"/>
  <c r="H113" i="37"/>
  <c r="G113" i="37"/>
  <c r="I113" i="37" s="1"/>
  <c r="D114" i="37"/>
  <c r="E114" i="37"/>
  <c r="H110" i="46"/>
  <c r="D111" i="46"/>
  <c r="G110" i="46"/>
  <c r="I110" i="46" s="1"/>
  <c r="E111" i="46"/>
  <c r="H112" i="43"/>
  <c r="G112" i="43"/>
  <c r="I112" i="43" s="1"/>
  <c r="D113" i="43"/>
  <c r="E113" i="43"/>
  <c r="H115" i="30"/>
  <c r="D116" i="30"/>
  <c r="G115" i="30"/>
  <c r="I115" i="30" s="1"/>
  <c r="E116" i="30"/>
  <c r="H121" i="3"/>
  <c r="G121" i="3"/>
  <c r="I121" i="3" s="1"/>
  <c r="D122" i="3"/>
  <c r="E122" i="3"/>
  <c r="H118" i="24"/>
  <c r="G118" i="24"/>
  <c r="I118" i="24" s="1"/>
  <c r="D119" i="24"/>
  <c r="E119" i="24"/>
  <c r="H123" i="9"/>
  <c r="G123" i="9"/>
  <c r="I123" i="9" s="1"/>
  <c r="D124" i="9"/>
  <c r="E124" i="9"/>
  <c r="H119" i="23"/>
  <c r="G119" i="23"/>
  <c r="I119" i="23" s="1"/>
  <c r="D120" i="23"/>
  <c r="E120" i="23"/>
  <c r="H122" i="8"/>
  <c r="G122" i="8"/>
  <c r="I122" i="8" s="1"/>
  <c r="D123" i="8"/>
  <c r="E123" i="8"/>
  <c r="H119" i="25"/>
  <c r="G119" i="25"/>
  <c r="I119" i="25" s="1"/>
  <c r="D120" i="25"/>
  <c r="E120" i="25"/>
  <c r="E116" i="49"/>
  <c r="F116" i="49" s="1"/>
  <c r="B116" i="49"/>
  <c r="H121" i="4"/>
  <c r="G121" i="4"/>
  <c r="I121" i="4" s="1"/>
  <c r="D122" i="4"/>
  <c r="E122" i="4"/>
  <c r="H121" i="5"/>
  <c r="G121" i="5"/>
  <c r="I121" i="5" s="1"/>
  <c r="D122" i="5"/>
  <c r="E122" i="5"/>
  <c r="H122" i="6"/>
  <c r="D123" i="6"/>
  <c r="G122" i="6"/>
  <c r="I122" i="6" s="1"/>
  <c r="E123" i="6"/>
  <c r="H116" i="28"/>
  <c r="G116" i="28"/>
  <c r="I116" i="28" s="1"/>
  <c r="D117" i="28"/>
  <c r="E117" i="28"/>
  <c r="E116" i="48"/>
  <c r="F116" i="48" s="1"/>
  <c r="B116" i="48"/>
  <c r="H112" i="40"/>
  <c r="G112" i="40"/>
  <c r="I112" i="40" s="1"/>
  <c r="D113" i="40"/>
  <c r="E113" i="40"/>
  <c r="B112" i="44"/>
  <c r="F112" i="44"/>
  <c r="H112" i="44" s="1"/>
  <c r="G113" i="42"/>
  <c r="I113" i="42" s="1"/>
  <c r="J113" i="42" s="1"/>
  <c r="D114" i="42"/>
  <c r="E114" i="42"/>
  <c r="H116" i="29"/>
  <c r="G116" i="29"/>
  <c r="I116" i="29" s="1"/>
  <c r="D117" i="29"/>
  <c r="E117" i="29"/>
  <c r="I115" i="48"/>
  <c r="H115" i="48"/>
  <c r="I115" i="49"/>
  <c r="H115" i="49"/>
  <c r="H114" i="38" l="1"/>
  <c r="G114" i="38"/>
  <c r="I114" i="38" s="1"/>
  <c r="D115" i="38"/>
  <c r="E115" i="38"/>
  <c r="B114" i="41"/>
  <c r="F114" i="41"/>
  <c r="H114" i="41" s="1"/>
  <c r="J113" i="37"/>
  <c r="J123" i="11"/>
  <c r="J120" i="22"/>
  <c r="J122" i="6"/>
  <c r="J115" i="49"/>
  <c r="J116" i="28"/>
  <c r="J121" i="5"/>
  <c r="J121" i="4"/>
  <c r="J116" i="29"/>
  <c r="J119" i="25"/>
  <c r="J122" i="8"/>
  <c r="J119" i="23"/>
  <c r="J123" i="9"/>
  <c r="J118" i="24"/>
  <c r="J121" i="3"/>
  <c r="J112" i="43"/>
  <c r="J116" i="31"/>
  <c r="J124" i="7"/>
  <c r="J117" i="27"/>
  <c r="J112" i="40"/>
  <c r="J113" i="39"/>
  <c r="J124" i="10"/>
  <c r="B111" i="46"/>
  <c r="F111" i="46"/>
  <c r="J115" i="48"/>
  <c r="B113" i="40"/>
  <c r="F113" i="40"/>
  <c r="B123" i="6"/>
  <c r="F123" i="6"/>
  <c r="B121" i="22"/>
  <c r="F121" i="22"/>
  <c r="B114" i="39"/>
  <c r="F114" i="39"/>
  <c r="B125" i="10"/>
  <c r="F125" i="10"/>
  <c r="D117" i="48"/>
  <c r="G116" i="48"/>
  <c r="B122" i="4"/>
  <c r="F122" i="4"/>
  <c r="B124" i="11"/>
  <c r="F124" i="11"/>
  <c r="E113" i="44"/>
  <c r="G112" i="44"/>
  <c r="I112" i="44" s="1"/>
  <c r="J112" i="44" s="1"/>
  <c r="D113" i="44"/>
  <c r="F118" i="47"/>
  <c r="B118" i="27"/>
  <c r="F118" i="27"/>
  <c r="B117" i="28"/>
  <c r="F117" i="28"/>
  <c r="B122" i="5"/>
  <c r="F122" i="5"/>
  <c r="D117" i="49"/>
  <c r="G116" i="49"/>
  <c r="F116" i="30"/>
  <c r="B116" i="30"/>
  <c r="B114" i="37"/>
  <c r="F114" i="37"/>
  <c r="B117" i="29"/>
  <c r="F117" i="29"/>
  <c r="B114" i="42"/>
  <c r="F114" i="42"/>
  <c r="H114" i="42" s="1"/>
  <c r="B120" i="25"/>
  <c r="F120" i="25"/>
  <c r="B123" i="8"/>
  <c r="F123" i="8"/>
  <c r="B120" i="23"/>
  <c r="F120" i="23"/>
  <c r="F124" i="9"/>
  <c r="B124" i="9"/>
  <c r="B119" i="24"/>
  <c r="F119" i="24"/>
  <c r="F122" i="3"/>
  <c r="B122" i="3"/>
  <c r="J115" i="30"/>
  <c r="F113" i="43"/>
  <c r="B113" i="43"/>
  <c r="J110" i="46"/>
  <c r="F112" i="45"/>
  <c r="B117" i="31"/>
  <c r="F117" i="31"/>
  <c r="B125" i="7"/>
  <c r="F125" i="7"/>
  <c r="H117" i="47"/>
  <c r="I117" i="47"/>
  <c r="J114" i="38" l="1"/>
  <c r="B115" i="38"/>
  <c r="F115" i="38"/>
  <c r="H115" i="38" s="1"/>
  <c r="E115" i="41"/>
  <c r="D115" i="41"/>
  <c r="G114" i="41"/>
  <c r="I114" i="41" s="1"/>
  <c r="J114" i="41" s="1"/>
  <c r="J117" i="47"/>
  <c r="H119" i="24"/>
  <c r="D120" i="24"/>
  <c r="G119" i="24"/>
  <c r="I119" i="24" s="1"/>
  <c r="E120" i="24"/>
  <c r="H125" i="10"/>
  <c r="G125" i="10"/>
  <c r="I125" i="10" s="1"/>
  <c r="D126" i="10"/>
  <c r="E126" i="10"/>
  <c r="H113" i="40"/>
  <c r="D114" i="40"/>
  <c r="G113" i="40"/>
  <c r="I113" i="40" s="1"/>
  <c r="E114" i="40"/>
  <c r="G111" i="46"/>
  <c r="I111" i="46" s="1"/>
  <c r="D112" i="46"/>
  <c r="E112" i="46"/>
  <c r="H117" i="29"/>
  <c r="G117" i="29"/>
  <c r="I117" i="29" s="1"/>
  <c r="D118" i="29"/>
  <c r="E118" i="29"/>
  <c r="H122" i="5"/>
  <c r="G122" i="5"/>
  <c r="I122" i="5" s="1"/>
  <c r="D123" i="5"/>
  <c r="E123" i="5"/>
  <c r="H118" i="27"/>
  <c r="G118" i="27"/>
  <c r="I118" i="27" s="1"/>
  <c r="D119" i="27"/>
  <c r="E119" i="27"/>
  <c r="H112" i="45"/>
  <c r="D113" i="45"/>
  <c r="G112" i="45"/>
  <c r="I112" i="45" s="1"/>
  <c r="E113" i="45"/>
  <c r="H120" i="23"/>
  <c r="G120" i="23"/>
  <c r="I120" i="23" s="1"/>
  <c r="D121" i="23"/>
  <c r="E121" i="23"/>
  <c r="H117" i="31"/>
  <c r="G117" i="31"/>
  <c r="I117" i="31" s="1"/>
  <c r="D118" i="31"/>
  <c r="E118" i="31"/>
  <c r="H122" i="3"/>
  <c r="G122" i="3"/>
  <c r="I122" i="3" s="1"/>
  <c r="D123" i="3"/>
  <c r="E123" i="3"/>
  <c r="H123" i="8"/>
  <c r="G123" i="8"/>
  <c r="I123" i="8" s="1"/>
  <c r="D124" i="8"/>
  <c r="E124" i="8"/>
  <c r="H116" i="30"/>
  <c r="G116" i="30"/>
  <c r="I116" i="30" s="1"/>
  <c r="D117" i="30"/>
  <c r="E117" i="30"/>
  <c r="G118" i="47"/>
  <c r="D119" i="47"/>
  <c r="H124" i="11"/>
  <c r="G124" i="11"/>
  <c r="I124" i="11" s="1"/>
  <c r="D125" i="11"/>
  <c r="E125" i="11"/>
  <c r="I116" i="48"/>
  <c r="H116" i="48"/>
  <c r="H114" i="39"/>
  <c r="G114" i="39"/>
  <c r="I114" i="39" s="1"/>
  <c r="D115" i="39"/>
  <c r="E115" i="39"/>
  <c r="H123" i="6"/>
  <c r="G123" i="6"/>
  <c r="I123" i="6" s="1"/>
  <c r="D124" i="6"/>
  <c r="E124" i="6"/>
  <c r="H125" i="7"/>
  <c r="G125" i="7"/>
  <c r="I125" i="7" s="1"/>
  <c r="D126" i="7"/>
  <c r="E126" i="7"/>
  <c r="H120" i="25"/>
  <c r="G120" i="25"/>
  <c r="I120" i="25" s="1"/>
  <c r="D121" i="25"/>
  <c r="E121" i="25"/>
  <c r="E117" i="49"/>
  <c r="F117" i="49" s="1"/>
  <c r="B117" i="49"/>
  <c r="H122" i="4"/>
  <c r="G122" i="4"/>
  <c r="I122" i="4" s="1"/>
  <c r="D123" i="4"/>
  <c r="E123" i="4"/>
  <c r="H121" i="22"/>
  <c r="G121" i="22"/>
  <c r="I121" i="22" s="1"/>
  <c r="D122" i="22"/>
  <c r="E122" i="22"/>
  <c r="H113" i="43"/>
  <c r="D114" i="43"/>
  <c r="G113" i="43"/>
  <c r="I113" i="43" s="1"/>
  <c r="E114" i="43"/>
  <c r="H124" i="9"/>
  <c r="G124" i="9"/>
  <c r="I124" i="9" s="1"/>
  <c r="D125" i="9"/>
  <c r="E125" i="9"/>
  <c r="G114" i="42"/>
  <c r="I114" i="42" s="1"/>
  <c r="J114" i="42" s="1"/>
  <c r="D115" i="42"/>
  <c r="E115" i="42"/>
  <c r="H114" i="37"/>
  <c r="G114" i="37"/>
  <c r="I114" i="37" s="1"/>
  <c r="D115" i="37"/>
  <c r="E115" i="37"/>
  <c r="H116" i="49"/>
  <c r="I116" i="49"/>
  <c r="H117" i="28"/>
  <c r="G117" i="28"/>
  <c r="I117" i="28" s="1"/>
  <c r="D118" i="28"/>
  <c r="E118" i="28"/>
  <c r="B113" i="44"/>
  <c r="F113" i="44"/>
  <c r="E117" i="48"/>
  <c r="F117" i="48" s="1"/>
  <c r="B117" i="48"/>
  <c r="H111" i="46"/>
  <c r="E116" i="38" l="1"/>
  <c r="G115" i="38"/>
  <c r="I115" i="38" s="1"/>
  <c r="J115" i="38" s="1"/>
  <c r="D116" i="38"/>
  <c r="B115" i="41"/>
  <c r="F115" i="41"/>
  <c r="H115" i="41" s="1"/>
  <c r="J113" i="40"/>
  <c r="J119" i="24"/>
  <c r="J113" i="43"/>
  <c r="J120" i="25"/>
  <c r="J125" i="7"/>
  <c r="J123" i="6"/>
  <c r="J117" i="28"/>
  <c r="J125" i="10"/>
  <c r="J114" i="39"/>
  <c r="J116" i="49"/>
  <c r="J114" i="37"/>
  <c r="J124" i="11"/>
  <c r="J116" i="30"/>
  <c r="J123" i="8"/>
  <c r="J122" i="3"/>
  <c r="J117" i="31"/>
  <c r="B122" i="22"/>
  <c r="F122" i="22"/>
  <c r="E119" i="47"/>
  <c r="F119" i="47" s="1"/>
  <c r="B119" i="47"/>
  <c r="B115" i="37"/>
  <c r="F115" i="37"/>
  <c r="F115" i="42"/>
  <c r="B115" i="42"/>
  <c r="J124" i="9"/>
  <c r="B114" i="43"/>
  <c r="F114" i="43"/>
  <c r="J121" i="22"/>
  <c r="J122" i="4"/>
  <c r="B125" i="11"/>
  <c r="F125" i="11"/>
  <c r="I118" i="47"/>
  <c r="H118" i="47"/>
  <c r="B126" i="10"/>
  <c r="F126" i="10"/>
  <c r="D118" i="48"/>
  <c r="G117" i="48"/>
  <c r="B125" i="9"/>
  <c r="F125" i="9"/>
  <c r="B121" i="23"/>
  <c r="F121" i="23"/>
  <c r="J112" i="45"/>
  <c r="B119" i="27"/>
  <c r="F119" i="27"/>
  <c r="B123" i="5"/>
  <c r="F123" i="5"/>
  <c r="B118" i="29"/>
  <c r="F118" i="29"/>
  <c r="B112" i="46"/>
  <c r="F112" i="46"/>
  <c r="B114" i="40"/>
  <c r="F114" i="40"/>
  <c r="B120" i="24"/>
  <c r="F120" i="24"/>
  <c r="G113" i="44"/>
  <c r="I113" i="44" s="1"/>
  <c r="D114" i="44"/>
  <c r="E114" i="44"/>
  <c r="B123" i="4"/>
  <c r="F123" i="4"/>
  <c r="H113" i="44"/>
  <c r="B118" i="28"/>
  <c r="F118" i="28"/>
  <c r="G117" i="49"/>
  <c r="D118" i="49"/>
  <c r="B121" i="25"/>
  <c r="F121" i="25"/>
  <c r="B126" i="7"/>
  <c r="F126" i="7"/>
  <c r="B124" i="6"/>
  <c r="F124" i="6"/>
  <c r="B115" i="39"/>
  <c r="F115" i="39"/>
  <c r="J116" i="48"/>
  <c r="B117" i="30"/>
  <c r="F117" i="30"/>
  <c r="B124" i="8"/>
  <c r="F124" i="8"/>
  <c r="B123" i="3"/>
  <c r="F123" i="3"/>
  <c r="B118" i="31"/>
  <c r="F118" i="31"/>
  <c r="J120" i="23"/>
  <c r="F113" i="45"/>
  <c r="B113" i="45"/>
  <c r="J118" i="27"/>
  <c r="J122" i="5"/>
  <c r="J117" i="29"/>
  <c r="J111" i="46"/>
  <c r="B116" i="38" l="1"/>
  <c r="F116" i="38"/>
  <c r="H116" i="38" s="1"/>
  <c r="G115" i="41"/>
  <c r="I115" i="41" s="1"/>
  <c r="J115" i="41" s="1"/>
  <c r="D116" i="41"/>
  <c r="E116" i="41"/>
  <c r="G112" i="46"/>
  <c r="I112" i="46" s="1"/>
  <c r="D113" i="46"/>
  <c r="E113" i="46"/>
  <c r="H126" i="10"/>
  <c r="D127" i="10"/>
  <c r="G126" i="10"/>
  <c r="I126" i="10" s="1"/>
  <c r="E127" i="10"/>
  <c r="H125" i="11"/>
  <c r="D126" i="11"/>
  <c r="G125" i="11"/>
  <c r="I125" i="11" s="1"/>
  <c r="E126" i="11"/>
  <c r="G119" i="47"/>
  <c r="D120" i="47"/>
  <c r="H118" i="31"/>
  <c r="G118" i="31"/>
  <c r="I118" i="31" s="1"/>
  <c r="D119" i="31"/>
  <c r="E119" i="31"/>
  <c r="H124" i="8"/>
  <c r="G124" i="8"/>
  <c r="I124" i="8" s="1"/>
  <c r="D125" i="8"/>
  <c r="E125" i="8"/>
  <c r="B114" i="44"/>
  <c r="F114" i="44"/>
  <c r="H114" i="44" s="1"/>
  <c r="H114" i="40"/>
  <c r="G114" i="40"/>
  <c r="I114" i="40" s="1"/>
  <c r="D115" i="40"/>
  <c r="E115" i="40"/>
  <c r="H121" i="23"/>
  <c r="D122" i="23"/>
  <c r="G121" i="23"/>
  <c r="I121" i="23" s="1"/>
  <c r="E122" i="23"/>
  <c r="H115" i="37"/>
  <c r="G115" i="37"/>
  <c r="I115" i="37" s="1"/>
  <c r="D116" i="37"/>
  <c r="E116" i="37"/>
  <c r="H124" i="6"/>
  <c r="G124" i="6"/>
  <c r="I124" i="6" s="1"/>
  <c r="D125" i="6"/>
  <c r="E125" i="6"/>
  <c r="H114" i="43"/>
  <c r="G114" i="43"/>
  <c r="I114" i="43" s="1"/>
  <c r="D115" i="43"/>
  <c r="E115" i="43"/>
  <c r="H115" i="39"/>
  <c r="G115" i="39"/>
  <c r="I115" i="39" s="1"/>
  <c r="D116" i="39"/>
  <c r="E116" i="39"/>
  <c r="H126" i="7"/>
  <c r="D127" i="7"/>
  <c r="G126" i="7"/>
  <c r="I126" i="7" s="1"/>
  <c r="E127" i="7"/>
  <c r="E118" i="49"/>
  <c r="F118" i="49" s="1"/>
  <c r="B118" i="49"/>
  <c r="H123" i="4"/>
  <c r="D124" i="4"/>
  <c r="G123" i="4"/>
  <c r="I123" i="4" s="1"/>
  <c r="E124" i="4"/>
  <c r="J113" i="44"/>
  <c r="H118" i="29"/>
  <c r="G118" i="29"/>
  <c r="I118" i="29" s="1"/>
  <c r="D119" i="29"/>
  <c r="E119" i="29"/>
  <c r="H119" i="27"/>
  <c r="G119" i="27"/>
  <c r="I119" i="27" s="1"/>
  <c r="D120" i="27"/>
  <c r="E120" i="27"/>
  <c r="H117" i="48"/>
  <c r="I117" i="48"/>
  <c r="H122" i="22"/>
  <c r="G122" i="22"/>
  <c r="I122" i="22" s="1"/>
  <c r="D123" i="22"/>
  <c r="E123" i="22"/>
  <c r="H121" i="25"/>
  <c r="G121" i="25"/>
  <c r="I121" i="25" s="1"/>
  <c r="D122" i="25"/>
  <c r="E122" i="25"/>
  <c r="H118" i="28"/>
  <c r="G118" i="28"/>
  <c r="I118" i="28" s="1"/>
  <c r="D119" i="28"/>
  <c r="E119" i="28"/>
  <c r="H123" i="5"/>
  <c r="G123" i="5"/>
  <c r="I123" i="5" s="1"/>
  <c r="D124" i="5"/>
  <c r="E124" i="5"/>
  <c r="H125" i="9"/>
  <c r="G125" i="9"/>
  <c r="I125" i="9" s="1"/>
  <c r="D126" i="9"/>
  <c r="E126" i="9"/>
  <c r="H115" i="42"/>
  <c r="G115" i="42"/>
  <c r="I115" i="42" s="1"/>
  <c r="D116" i="42"/>
  <c r="E116" i="42"/>
  <c r="H113" i="45"/>
  <c r="G113" i="45"/>
  <c r="I113" i="45" s="1"/>
  <c r="D114" i="45"/>
  <c r="E114" i="45"/>
  <c r="H123" i="3"/>
  <c r="G123" i="3"/>
  <c r="I123" i="3" s="1"/>
  <c r="D124" i="3"/>
  <c r="E124" i="3"/>
  <c r="H117" i="30"/>
  <c r="G117" i="30"/>
  <c r="I117" i="30" s="1"/>
  <c r="D118" i="30"/>
  <c r="E118" i="30"/>
  <c r="I117" i="49"/>
  <c r="H117" i="49"/>
  <c r="H120" i="24"/>
  <c r="G120" i="24"/>
  <c r="I120" i="24" s="1"/>
  <c r="D121" i="24"/>
  <c r="E121" i="24"/>
  <c r="H112" i="46"/>
  <c r="E118" i="48"/>
  <c r="F118" i="48" s="1"/>
  <c r="B118" i="48"/>
  <c r="J118" i="47"/>
  <c r="E117" i="38" l="1"/>
  <c r="D117" i="38"/>
  <c r="G116" i="38"/>
  <c r="I116" i="38" s="1"/>
  <c r="J116" i="38" s="1"/>
  <c r="B116" i="41"/>
  <c r="F116" i="41"/>
  <c r="J126" i="7"/>
  <c r="J121" i="23"/>
  <c r="J117" i="48"/>
  <c r="J119" i="27"/>
  <c r="J118" i="29"/>
  <c r="J115" i="39"/>
  <c r="J114" i="43"/>
  <c r="J124" i="6"/>
  <c r="J115" i="37"/>
  <c r="J117" i="30"/>
  <c r="J123" i="3"/>
  <c r="J113" i="45"/>
  <c r="J115" i="42"/>
  <c r="J125" i="9"/>
  <c r="J114" i="40"/>
  <c r="J123" i="5"/>
  <c r="J118" i="28"/>
  <c r="J121" i="25"/>
  <c r="J122" i="22"/>
  <c r="F125" i="8"/>
  <c r="B125" i="8"/>
  <c r="F119" i="31"/>
  <c r="B119" i="31"/>
  <c r="I119" i="47"/>
  <c r="H119" i="47"/>
  <c r="J120" i="24"/>
  <c r="J117" i="49"/>
  <c r="B120" i="27"/>
  <c r="F120" i="27"/>
  <c r="F119" i="29"/>
  <c r="B119" i="29"/>
  <c r="D119" i="49"/>
  <c r="G118" i="49"/>
  <c r="B116" i="39"/>
  <c r="F116" i="39"/>
  <c r="B115" i="43"/>
  <c r="F115" i="43"/>
  <c r="F125" i="6"/>
  <c r="B125" i="6"/>
  <c r="B116" i="37"/>
  <c r="F116" i="37"/>
  <c r="B115" i="40"/>
  <c r="F115" i="40"/>
  <c r="G114" i="44"/>
  <c r="I114" i="44" s="1"/>
  <c r="J114" i="44" s="1"/>
  <c r="D115" i="44"/>
  <c r="E115" i="44"/>
  <c r="J124" i="8"/>
  <c r="J118" i="31"/>
  <c r="G118" i="48"/>
  <c r="D119" i="48"/>
  <c r="J123" i="4"/>
  <c r="B127" i="7"/>
  <c r="F127" i="7"/>
  <c r="B122" i="23"/>
  <c r="F122" i="23"/>
  <c r="J125" i="11"/>
  <c r="J126" i="10"/>
  <c r="F113" i="46"/>
  <c r="B113" i="46"/>
  <c r="B121" i="24"/>
  <c r="F121" i="24"/>
  <c r="B118" i="30"/>
  <c r="F118" i="30"/>
  <c r="F124" i="3"/>
  <c r="B124" i="3"/>
  <c r="F114" i="45"/>
  <c r="B114" i="45"/>
  <c r="B116" i="42"/>
  <c r="F116" i="42"/>
  <c r="F126" i="9"/>
  <c r="B126" i="9"/>
  <c r="B124" i="5"/>
  <c r="F124" i="5"/>
  <c r="B119" i="28"/>
  <c r="F119" i="28"/>
  <c r="B122" i="25"/>
  <c r="F122" i="25"/>
  <c r="F123" i="22"/>
  <c r="B123" i="22"/>
  <c r="B124" i="4"/>
  <c r="F124" i="4"/>
  <c r="E120" i="47"/>
  <c r="F120" i="47" s="1"/>
  <c r="B120" i="47"/>
  <c r="F126" i="11"/>
  <c r="B126" i="11"/>
  <c r="B127" i="10"/>
  <c r="F127" i="10"/>
  <c r="J112" i="46"/>
  <c r="B117" i="38" l="1"/>
  <c r="F117" i="38"/>
  <c r="H117" i="38"/>
  <c r="H116" i="41"/>
  <c r="D117" i="41"/>
  <c r="E117" i="41"/>
  <c r="G116" i="41"/>
  <c r="I116" i="41" s="1"/>
  <c r="J119" i="47"/>
  <c r="E119" i="49"/>
  <c r="F119" i="49" s="1"/>
  <c r="B119" i="49"/>
  <c r="H125" i="8"/>
  <c r="D126" i="8"/>
  <c r="B126" i="8" s="1"/>
  <c r="G125" i="8"/>
  <c r="I125" i="8" s="1"/>
  <c r="E126" i="8"/>
  <c r="H119" i="28"/>
  <c r="G119" i="28"/>
  <c r="I119" i="28" s="1"/>
  <c r="D120" i="28"/>
  <c r="E120" i="28"/>
  <c r="H118" i="30"/>
  <c r="G118" i="30"/>
  <c r="I118" i="30" s="1"/>
  <c r="D119" i="30"/>
  <c r="E119" i="30"/>
  <c r="H122" i="23"/>
  <c r="G122" i="23"/>
  <c r="I122" i="23" s="1"/>
  <c r="D123" i="23"/>
  <c r="E123" i="23"/>
  <c r="H115" i="40"/>
  <c r="G115" i="40"/>
  <c r="I115" i="40" s="1"/>
  <c r="D116" i="40"/>
  <c r="E116" i="40"/>
  <c r="H116" i="39"/>
  <c r="G116" i="39"/>
  <c r="I116" i="39" s="1"/>
  <c r="D117" i="39"/>
  <c r="E117" i="39"/>
  <c r="H124" i="3"/>
  <c r="G124" i="3"/>
  <c r="I124" i="3" s="1"/>
  <c r="D125" i="3"/>
  <c r="E125" i="3"/>
  <c r="H123" i="22"/>
  <c r="G123" i="22"/>
  <c r="I123" i="22" s="1"/>
  <c r="D124" i="22"/>
  <c r="E124" i="22"/>
  <c r="H126" i="9"/>
  <c r="G126" i="9"/>
  <c r="I126" i="9" s="1"/>
  <c r="D127" i="9"/>
  <c r="E127" i="9"/>
  <c r="H114" i="45"/>
  <c r="D115" i="45"/>
  <c r="G114" i="45"/>
  <c r="I114" i="45" s="1"/>
  <c r="E115" i="45"/>
  <c r="H113" i="46"/>
  <c r="G113" i="46"/>
  <c r="I113" i="46" s="1"/>
  <c r="D114" i="46"/>
  <c r="E114" i="46"/>
  <c r="E119" i="48"/>
  <c r="F119" i="48" s="1"/>
  <c r="B119" i="48"/>
  <c r="H125" i="6"/>
  <c r="G125" i="6"/>
  <c r="I125" i="6" s="1"/>
  <c r="D126" i="6"/>
  <c r="E126" i="6"/>
  <c r="H119" i="29"/>
  <c r="D120" i="29"/>
  <c r="G119" i="29"/>
  <c r="I119" i="29" s="1"/>
  <c r="E120" i="29"/>
  <c r="H119" i="31"/>
  <c r="D120" i="31"/>
  <c r="G119" i="31"/>
  <c r="I119" i="31" s="1"/>
  <c r="E120" i="31"/>
  <c r="H127" i="10"/>
  <c r="G127" i="10"/>
  <c r="I127" i="10" s="1"/>
  <c r="D128" i="10"/>
  <c r="E128" i="10"/>
  <c r="G120" i="47"/>
  <c r="D121" i="47"/>
  <c r="H126" i="11"/>
  <c r="G126" i="11"/>
  <c r="I126" i="11" s="1"/>
  <c r="D127" i="11"/>
  <c r="E127" i="11"/>
  <c r="H124" i="4"/>
  <c r="D125" i="4"/>
  <c r="G124" i="4"/>
  <c r="I124" i="4" s="1"/>
  <c r="E125" i="4"/>
  <c r="H122" i="25"/>
  <c r="D123" i="25"/>
  <c r="G122" i="25"/>
  <c r="I122" i="25" s="1"/>
  <c r="E123" i="25"/>
  <c r="H124" i="5"/>
  <c r="G124" i="5"/>
  <c r="I124" i="5" s="1"/>
  <c r="D125" i="5"/>
  <c r="E125" i="5"/>
  <c r="H116" i="42"/>
  <c r="D117" i="42"/>
  <c r="G116" i="42"/>
  <c r="I116" i="42" s="1"/>
  <c r="E117" i="42"/>
  <c r="H121" i="24"/>
  <c r="G121" i="24"/>
  <c r="I121" i="24" s="1"/>
  <c r="D122" i="24"/>
  <c r="E122" i="24"/>
  <c r="H127" i="7"/>
  <c r="G127" i="7"/>
  <c r="I127" i="7" s="1"/>
  <c r="D128" i="7"/>
  <c r="E128" i="7"/>
  <c r="H118" i="48"/>
  <c r="I118" i="48"/>
  <c r="B115" i="44"/>
  <c r="F115" i="44"/>
  <c r="H116" i="37"/>
  <c r="G116" i="37"/>
  <c r="I116" i="37" s="1"/>
  <c r="D117" i="37"/>
  <c r="E117" i="37"/>
  <c r="H115" i="43"/>
  <c r="D116" i="43"/>
  <c r="G115" i="43"/>
  <c r="I115" i="43" s="1"/>
  <c r="E116" i="43"/>
  <c r="I118" i="49"/>
  <c r="H118" i="49"/>
  <c r="H120" i="27"/>
  <c r="D121" i="27"/>
  <c r="G120" i="27"/>
  <c r="I120" i="27" s="1"/>
  <c r="E121" i="27"/>
  <c r="J116" i="41" l="1"/>
  <c r="E118" i="38"/>
  <c r="G117" i="38"/>
  <c r="I117" i="38" s="1"/>
  <c r="J117" i="38" s="1"/>
  <c r="D118" i="38"/>
  <c r="F117" i="41"/>
  <c r="B117" i="41"/>
  <c r="J115" i="43"/>
  <c r="J116" i="37"/>
  <c r="J118" i="48"/>
  <c r="J127" i="7"/>
  <c r="J121" i="24"/>
  <c r="J116" i="42"/>
  <c r="J122" i="25"/>
  <c r="J124" i="4"/>
  <c r="J120" i="27"/>
  <c r="J114" i="45"/>
  <c r="F126" i="8"/>
  <c r="H126" i="8" s="1"/>
  <c r="J113" i="46"/>
  <c r="J126" i="9"/>
  <c r="J123" i="22"/>
  <c r="J124" i="3"/>
  <c r="J116" i="39"/>
  <c r="J115" i="40"/>
  <c r="J122" i="23"/>
  <c r="B125" i="5"/>
  <c r="F125" i="5"/>
  <c r="H120" i="47"/>
  <c r="I120" i="47"/>
  <c r="J118" i="49"/>
  <c r="B117" i="42"/>
  <c r="F117" i="42"/>
  <c r="J124" i="5"/>
  <c r="F123" i="25"/>
  <c r="B123" i="25"/>
  <c r="B125" i="4"/>
  <c r="F125" i="4"/>
  <c r="J126" i="11"/>
  <c r="F114" i="46"/>
  <c r="B114" i="46"/>
  <c r="B127" i="9"/>
  <c r="F127" i="9"/>
  <c r="B124" i="22"/>
  <c r="F124" i="22"/>
  <c r="B125" i="3"/>
  <c r="F125" i="3"/>
  <c r="B117" i="39"/>
  <c r="F117" i="39"/>
  <c r="B116" i="40"/>
  <c r="F116" i="40"/>
  <c r="B123" i="23"/>
  <c r="F123" i="23"/>
  <c r="B116" i="43"/>
  <c r="F116" i="43"/>
  <c r="B121" i="27"/>
  <c r="F121" i="27"/>
  <c r="H115" i="44"/>
  <c r="D116" i="44"/>
  <c r="G115" i="44"/>
  <c r="I115" i="44" s="1"/>
  <c r="E116" i="44"/>
  <c r="B128" i="10"/>
  <c r="F128" i="10"/>
  <c r="J119" i="31"/>
  <c r="J119" i="29"/>
  <c r="B126" i="6"/>
  <c r="F126" i="6"/>
  <c r="G119" i="48"/>
  <c r="D120" i="48"/>
  <c r="B115" i="45"/>
  <c r="F115" i="45"/>
  <c r="B119" i="30"/>
  <c r="F119" i="30"/>
  <c r="F120" i="28"/>
  <c r="B120" i="28"/>
  <c r="J125" i="8"/>
  <c r="D120" i="49"/>
  <c r="G119" i="49"/>
  <c r="B127" i="11"/>
  <c r="F127" i="11"/>
  <c r="B117" i="37"/>
  <c r="F117" i="37"/>
  <c r="B128" i="7"/>
  <c r="F128" i="7"/>
  <c r="B122" i="24"/>
  <c r="F122" i="24"/>
  <c r="E121" i="47"/>
  <c r="F121" i="47" s="1"/>
  <c r="B121" i="47"/>
  <c r="J127" i="10"/>
  <c r="F120" i="31"/>
  <c r="B120" i="31"/>
  <c r="B120" i="29"/>
  <c r="F120" i="29"/>
  <c r="J125" i="6"/>
  <c r="J118" i="30"/>
  <c r="J119" i="28"/>
  <c r="F118" i="38" l="1"/>
  <c r="B118" i="38"/>
  <c r="E127" i="8"/>
  <c r="D127" i="8"/>
  <c r="B127" i="8" s="1"/>
  <c r="H117" i="41"/>
  <c r="G117" i="41"/>
  <c r="I117" i="41" s="1"/>
  <c r="E118" i="41"/>
  <c r="D118" i="41"/>
  <c r="G126" i="8"/>
  <c r="I126" i="8" s="1"/>
  <c r="J126" i="8" s="1"/>
  <c r="J120" i="47"/>
  <c r="D122" i="47"/>
  <c r="G121" i="47"/>
  <c r="H126" i="6"/>
  <c r="G126" i="6"/>
  <c r="I126" i="6" s="1"/>
  <c r="D127" i="6"/>
  <c r="B127" i="6" s="1"/>
  <c r="E127" i="6"/>
  <c r="H128" i="10"/>
  <c r="G128" i="10"/>
  <c r="I128" i="10" s="1"/>
  <c r="D129" i="10"/>
  <c r="B129" i="10" s="1"/>
  <c r="E129" i="10"/>
  <c r="H120" i="29"/>
  <c r="D121" i="29"/>
  <c r="G120" i="29"/>
  <c r="I120" i="29" s="1"/>
  <c r="E121" i="29"/>
  <c r="H122" i="24"/>
  <c r="D123" i="24"/>
  <c r="G122" i="24"/>
  <c r="I122" i="24" s="1"/>
  <c r="E123" i="24"/>
  <c r="H117" i="37"/>
  <c r="G117" i="37"/>
  <c r="I117" i="37" s="1"/>
  <c r="D118" i="37"/>
  <c r="E118" i="37"/>
  <c r="I119" i="49"/>
  <c r="H119" i="49"/>
  <c r="H120" i="28"/>
  <c r="G120" i="28"/>
  <c r="I120" i="28" s="1"/>
  <c r="D121" i="28"/>
  <c r="E121" i="28"/>
  <c r="H123" i="23"/>
  <c r="D124" i="23"/>
  <c r="G123" i="23"/>
  <c r="I123" i="23" s="1"/>
  <c r="E124" i="23"/>
  <c r="H117" i="39"/>
  <c r="G117" i="39"/>
  <c r="I117" i="39" s="1"/>
  <c r="D118" i="39"/>
  <c r="E118" i="39"/>
  <c r="H124" i="22"/>
  <c r="G124" i="22"/>
  <c r="I124" i="22" s="1"/>
  <c r="D125" i="22"/>
  <c r="B125" i="22" s="1"/>
  <c r="E125" i="22"/>
  <c r="H117" i="42"/>
  <c r="D118" i="42"/>
  <c r="B118" i="42" s="1"/>
  <c r="G117" i="42"/>
  <c r="I117" i="42" s="1"/>
  <c r="E118" i="42"/>
  <c r="H120" i="31"/>
  <c r="G120" i="31"/>
  <c r="I120" i="31" s="1"/>
  <c r="D121" i="31"/>
  <c r="E121" i="31"/>
  <c r="E120" i="49"/>
  <c r="F120" i="49" s="1"/>
  <c r="B120" i="49"/>
  <c r="H119" i="30"/>
  <c r="D120" i="30"/>
  <c r="G119" i="30"/>
  <c r="I119" i="30" s="1"/>
  <c r="E120" i="30"/>
  <c r="H121" i="27"/>
  <c r="G121" i="27"/>
  <c r="I121" i="27" s="1"/>
  <c r="D122" i="27"/>
  <c r="E122" i="27"/>
  <c r="H114" i="46"/>
  <c r="G114" i="46"/>
  <c r="I114" i="46" s="1"/>
  <c r="D115" i="46"/>
  <c r="E115" i="46"/>
  <c r="H125" i="5"/>
  <c r="G125" i="5"/>
  <c r="I125" i="5" s="1"/>
  <c r="D126" i="5"/>
  <c r="B126" i="5" s="1"/>
  <c r="E126" i="5"/>
  <c r="H115" i="45"/>
  <c r="G115" i="45"/>
  <c r="I115" i="45" s="1"/>
  <c r="D116" i="45"/>
  <c r="E116" i="45"/>
  <c r="B116" i="44"/>
  <c r="F116" i="44"/>
  <c r="H116" i="44" s="1"/>
  <c r="H125" i="4"/>
  <c r="G125" i="4"/>
  <c r="I125" i="4" s="1"/>
  <c r="D126" i="4"/>
  <c r="E126" i="4"/>
  <c r="E120" i="48"/>
  <c r="F120" i="48" s="1"/>
  <c r="B120" i="48"/>
  <c r="H128" i="7"/>
  <c r="G128" i="7"/>
  <c r="I128" i="7" s="1"/>
  <c r="D129" i="7"/>
  <c r="B129" i="7" s="1"/>
  <c r="E129" i="7"/>
  <c r="H127" i="11"/>
  <c r="D128" i="11"/>
  <c r="B128" i="11" s="1"/>
  <c r="G127" i="11"/>
  <c r="I127" i="11" s="1"/>
  <c r="E128" i="11"/>
  <c r="H119" i="48"/>
  <c r="I119" i="48"/>
  <c r="J115" i="44"/>
  <c r="H116" i="43"/>
  <c r="G116" i="43"/>
  <c r="I116" i="43" s="1"/>
  <c r="D117" i="43"/>
  <c r="E117" i="43"/>
  <c r="H116" i="40"/>
  <c r="G116" i="40"/>
  <c r="I116" i="40" s="1"/>
  <c r="D117" i="40"/>
  <c r="E117" i="40"/>
  <c r="H125" i="3"/>
  <c r="G125" i="3"/>
  <c r="I125" i="3" s="1"/>
  <c r="D126" i="3"/>
  <c r="E126" i="3"/>
  <c r="H127" i="9"/>
  <c r="G127" i="9"/>
  <c r="I127" i="9" s="1"/>
  <c r="D128" i="9"/>
  <c r="B128" i="9" s="1"/>
  <c r="E128" i="9"/>
  <c r="H123" i="25"/>
  <c r="G123" i="25"/>
  <c r="I123" i="25" s="1"/>
  <c r="D124" i="25"/>
  <c r="E124" i="25"/>
  <c r="F127" i="8" l="1"/>
  <c r="H118" i="38"/>
  <c r="E119" i="38"/>
  <c r="D119" i="38"/>
  <c r="G118" i="38"/>
  <c r="I118" i="38" s="1"/>
  <c r="J117" i="41"/>
  <c r="B118" i="41"/>
  <c r="F118" i="41"/>
  <c r="H118" i="41" s="1"/>
  <c r="J117" i="42"/>
  <c r="J123" i="23"/>
  <c r="J117" i="37"/>
  <c r="J116" i="43"/>
  <c r="J119" i="48"/>
  <c r="J128" i="7"/>
  <c r="J121" i="27"/>
  <c r="J120" i="31"/>
  <c r="J124" i="22"/>
  <c r="J117" i="39"/>
  <c r="F126" i="5"/>
  <c r="D127" i="5" s="1"/>
  <c r="J128" i="10"/>
  <c r="J126" i="6"/>
  <c r="J119" i="30"/>
  <c r="J115" i="45"/>
  <c r="J125" i="5"/>
  <c r="J114" i="46"/>
  <c r="F129" i="7"/>
  <c r="E130" i="7" s="1"/>
  <c r="J122" i="24"/>
  <c r="J120" i="29"/>
  <c r="G120" i="48"/>
  <c r="D121" i="48"/>
  <c r="B122" i="27"/>
  <c r="F122" i="27"/>
  <c r="B123" i="24"/>
  <c r="F123" i="24"/>
  <c r="F128" i="9"/>
  <c r="F116" i="45"/>
  <c r="B116" i="45"/>
  <c r="B115" i="46"/>
  <c r="F115" i="46"/>
  <c r="B124" i="23"/>
  <c r="F124" i="23"/>
  <c r="F121" i="28"/>
  <c r="B121" i="28"/>
  <c r="J119" i="49"/>
  <c r="G126" i="5"/>
  <c r="I126" i="5" s="1"/>
  <c r="B121" i="31"/>
  <c r="F121" i="31"/>
  <c r="B126" i="3"/>
  <c r="F126" i="3"/>
  <c r="B117" i="40"/>
  <c r="F117" i="40"/>
  <c r="F128" i="11"/>
  <c r="B126" i="4"/>
  <c r="F126" i="4"/>
  <c r="G116" i="44"/>
  <c r="I116" i="44" s="1"/>
  <c r="J116" i="44" s="1"/>
  <c r="D117" i="44"/>
  <c r="E117" i="44"/>
  <c r="B120" i="30"/>
  <c r="F120" i="30"/>
  <c r="J120" i="28"/>
  <c r="F129" i="10"/>
  <c r="F127" i="6"/>
  <c r="H121" i="47"/>
  <c r="I121" i="47"/>
  <c r="D121" i="49"/>
  <c r="G120" i="49"/>
  <c r="B118" i="39"/>
  <c r="F118" i="39"/>
  <c r="B121" i="29"/>
  <c r="F121" i="29"/>
  <c r="B124" i="25"/>
  <c r="F124" i="25"/>
  <c r="J123" i="25"/>
  <c r="J127" i="9"/>
  <c r="J125" i="3"/>
  <c r="J116" i="40"/>
  <c r="F117" i="43"/>
  <c r="B117" i="43"/>
  <c r="J127" i="11"/>
  <c r="J125" i="4"/>
  <c r="F118" i="42"/>
  <c r="F125" i="22"/>
  <c r="H127" i="8"/>
  <c r="G127" i="8"/>
  <c r="I127" i="8" s="1"/>
  <c r="D128" i="8"/>
  <c r="B128" i="8" s="1"/>
  <c r="E128" i="8"/>
  <c r="B118" i="37"/>
  <c r="F118" i="37"/>
  <c r="E122" i="47"/>
  <c r="F122" i="47" s="1"/>
  <c r="B122" i="47"/>
  <c r="H126" i="5" l="1"/>
  <c r="F119" i="38"/>
  <c r="B119" i="38"/>
  <c r="J118" i="38"/>
  <c r="E127" i="5"/>
  <c r="F127" i="5" s="1"/>
  <c r="D119" i="41"/>
  <c r="E119" i="41"/>
  <c r="G118" i="41"/>
  <c r="I118" i="41" s="1"/>
  <c r="J118" i="41" s="1"/>
  <c r="D130" i="7"/>
  <c r="F130" i="7" s="1"/>
  <c r="G129" i="7"/>
  <c r="I129" i="7" s="1"/>
  <c r="H129" i="7"/>
  <c r="J127" i="8"/>
  <c r="J121" i="47"/>
  <c r="F128" i="8"/>
  <c r="H128" i="8" s="1"/>
  <c r="H124" i="25"/>
  <c r="D125" i="25"/>
  <c r="G124" i="25"/>
  <c r="I124" i="25" s="1"/>
  <c r="E125" i="25"/>
  <c r="B117" i="44"/>
  <c r="F117" i="44"/>
  <c r="H128" i="11"/>
  <c r="G128" i="11"/>
  <c r="I128" i="11" s="1"/>
  <c r="D129" i="11"/>
  <c r="B129" i="11" s="1"/>
  <c r="E129" i="11"/>
  <c r="H122" i="27"/>
  <c r="G122" i="27"/>
  <c r="I122" i="27" s="1"/>
  <c r="D123" i="27"/>
  <c r="B123" i="27" s="1"/>
  <c r="E123" i="27"/>
  <c r="H120" i="30"/>
  <c r="D121" i="30"/>
  <c r="G120" i="30"/>
  <c r="I120" i="30" s="1"/>
  <c r="E121" i="30"/>
  <c r="H117" i="40"/>
  <c r="G117" i="40"/>
  <c r="I117" i="40" s="1"/>
  <c r="D118" i="40"/>
  <c r="E118" i="40"/>
  <c r="H121" i="31"/>
  <c r="D122" i="31"/>
  <c r="G121" i="31"/>
  <c r="I121" i="31" s="1"/>
  <c r="E122" i="31"/>
  <c r="J126" i="5"/>
  <c r="H121" i="28"/>
  <c r="G121" i="28"/>
  <c r="I121" i="28" s="1"/>
  <c r="D122" i="28"/>
  <c r="E122" i="28"/>
  <c r="H128" i="9"/>
  <c r="G128" i="9"/>
  <c r="I128" i="9" s="1"/>
  <c r="D129" i="9"/>
  <c r="B129" i="9" s="1"/>
  <c r="E129" i="9"/>
  <c r="H118" i="39"/>
  <c r="G118" i="39"/>
  <c r="I118" i="39" s="1"/>
  <c r="D119" i="39"/>
  <c r="E119" i="39"/>
  <c r="G122" i="47"/>
  <c r="D123" i="47"/>
  <c r="D129" i="8"/>
  <c r="G128" i="8"/>
  <c r="I128" i="8" s="1"/>
  <c r="E129" i="8"/>
  <c r="H125" i="22"/>
  <c r="G125" i="22"/>
  <c r="I125" i="22" s="1"/>
  <c r="D126" i="22"/>
  <c r="B126" i="22" s="1"/>
  <c r="E126" i="22"/>
  <c r="H121" i="29"/>
  <c r="G121" i="29"/>
  <c r="I121" i="29" s="1"/>
  <c r="D122" i="29"/>
  <c r="E122" i="29"/>
  <c r="I120" i="49"/>
  <c r="H120" i="49"/>
  <c r="H127" i="6"/>
  <c r="G127" i="6"/>
  <c r="I127" i="6" s="1"/>
  <c r="D128" i="6"/>
  <c r="E128" i="6"/>
  <c r="H126" i="4"/>
  <c r="D127" i="4"/>
  <c r="B127" i="4" s="1"/>
  <c r="G126" i="4"/>
  <c r="I126" i="4" s="1"/>
  <c r="E127" i="4"/>
  <c r="H124" i="23"/>
  <c r="G124" i="23"/>
  <c r="I124" i="23" s="1"/>
  <c r="D125" i="23"/>
  <c r="B125" i="23" s="1"/>
  <c r="E125" i="23"/>
  <c r="H123" i="24"/>
  <c r="D124" i="24"/>
  <c r="B124" i="24" s="1"/>
  <c r="G123" i="24"/>
  <c r="I123" i="24" s="1"/>
  <c r="E124" i="24"/>
  <c r="E121" i="48"/>
  <c r="F121" i="48" s="1"/>
  <c r="B121" i="48"/>
  <c r="H118" i="37"/>
  <c r="D119" i="37"/>
  <c r="G118" i="37"/>
  <c r="I118" i="37" s="1"/>
  <c r="E119" i="37"/>
  <c r="B127" i="5"/>
  <c r="D116" i="46"/>
  <c r="G115" i="46"/>
  <c r="I115" i="46" s="1"/>
  <c r="E116" i="46"/>
  <c r="H118" i="42"/>
  <c r="G118" i="42"/>
  <c r="I118" i="42" s="1"/>
  <c r="D119" i="42"/>
  <c r="E119" i="42"/>
  <c r="H117" i="43"/>
  <c r="D118" i="43"/>
  <c r="G117" i="43"/>
  <c r="I117" i="43" s="1"/>
  <c r="E118" i="43"/>
  <c r="E121" i="49"/>
  <c r="F121" i="49" s="1"/>
  <c r="B121" i="49"/>
  <c r="H129" i="10"/>
  <c r="G129" i="10"/>
  <c r="I129" i="10" s="1"/>
  <c r="D130" i="10"/>
  <c r="B130" i="10" s="1"/>
  <c r="E130" i="10"/>
  <c r="H126" i="3"/>
  <c r="D127" i="3"/>
  <c r="G126" i="3"/>
  <c r="I126" i="3" s="1"/>
  <c r="E127" i="3"/>
  <c r="H115" i="46"/>
  <c r="H116" i="45"/>
  <c r="D117" i="45"/>
  <c r="G116" i="45"/>
  <c r="I116" i="45" s="1"/>
  <c r="E117" i="45"/>
  <c r="H120" i="48"/>
  <c r="I120" i="48"/>
  <c r="H119" i="38" l="1"/>
  <c r="G119" i="38"/>
  <c r="I119" i="38" s="1"/>
  <c r="D120" i="38"/>
  <c r="E120" i="38"/>
  <c r="B130" i="7"/>
  <c r="B119" i="41"/>
  <c r="F119" i="41"/>
  <c r="J129" i="7"/>
  <c r="F124" i="24"/>
  <c r="E125" i="24" s="1"/>
  <c r="J126" i="4"/>
  <c r="J122" i="27"/>
  <c r="J120" i="49"/>
  <c r="J116" i="45"/>
  <c r="J117" i="43"/>
  <c r="J123" i="24"/>
  <c r="J121" i="31"/>
  <c r="J124" i="25"/>
  <c r="J120" i="48"/>
  <c r="J118" i="42"/>
  <c r="J117" i="40"/>
  <c r="F123" i="27"/>
  <c r="G123" i="27" s="1"/>
  <c r="I123" i="27" s="1"/>
  <c r="F129" i="11"/>
  <c r="E130" i="11" s="1"/>
  <c r="J128" i="11"/>
  <c r="B128" i="6"/>
  <c r="F128" i="6"/>
  <c r="B119" i="39"/>
  <c r="F119" i="39"/>
  <c r="F122" i="28"/>
  <c r="B122" i="28"/>
  <c r="F121" i="30"/>
  <c r="B121" i="30"/>
  <c r="F130" i="10"/>
  <c r="B119" i="42"/>
  <c r="F119" i="42"/>
  <c r="H119" i="42" s="1"/>
  <c r="J115" i="46"/>
  <c r="J124" i="23"/>
  <c r="J127" i="6"/>
  <c r="F126" i="22"/>
  <c r="E123" i="47"/>
  <c r="F123" i="47" s="1"/>
  <c r="B123" i="47"/>
  <c r="J118" i="39"/>
  <c r="J128" i="9"/>
  <c r="J121" i="28"/>
  <c r="B118" i="40"/>
  <c r="F118" i="40"/>
  <c r="H130" i="7"/>
  <c r="G130" i="7"/>
  <c r="I130" i="7" s="1"/>
  <c r="D131" i="7"/>
  <c r="B131" i="7" s="1"/>
  <c r="E131" i="7"/>
  <c r="B117" i="45"/>
  <c r="F117" i="45"/>
  <c r="J126" i="3"/>
  <c r="G121" i="49"/>
  <c r="D122" i="49"/>
  <c r="F118" i="43"/>
  <c r="B118" i="43"/>
  <c r="B116" i="46"/>
  <c r="F116" i="46"/>
  <c r="J118" i="37"/>
  <c r="G121" i="48"/>
  <c r="D122" i="48"/>
  <c r="B122" i="29"/>
  <c r="F122" i="29"/>
  <c r="J128" i="8"/>
  <c r="H122" i="47"/>
  <c r="I122" i="47"/>
  <c r="B122" i="31"/>
  <c r="F122" i="31"/>
  <c r="H123" i="27"/>
  <c r="E124" i="27"/>
  <c r="H117" i="44"/>
  <c r="D118" i="44"/>
  <c r="G117" i="44"/>
  <c r="I117" i="44" s="1"/>
  <c r="E118" i="44"/>
  <c r="B125" i="25"/>
  <c r="F125" i="25"/>
  <c r="G124" i="24"/>
  <c r="I124" i="24" s="1"/>
  <c r="D125" i="24"/>
  <c r="B127" i="3"/>
  <c r="F127" i="3"/>
  <c r="J129" i="10"/>
  <c r="H127" i="5"/>
  <c r="G127" i="5"/>
  <c r="I127" i="5" s="1"/>
  <c r="D128" i="5"/>
  <c r="B128" i="5" s="1"/>
  <c r="E128" i="5"/>
  <c r="B119" i="37"/>
  <c r="F119" i="37"/>
  <c r="F125" i="23"/>
  <c r="F127" i="4"/>
  <c r="J121" i="29"/>
  <c r="J125" i="22"/>
  <c r="B129" i="8"/>
  <c r="F129" i="8"/>
  <c r="F129" i="9"/>
  <c r="J120" i="30"/>
  <c r="J119" i="38" l="1"/>
  <c r="B120" i="38"/>
  <c r="F120" i="38"/>
  <c r="H124" i="24"/>
  <c r="D124" i="27"/>
  <c r="B124" i="27" s="1"/>
  <c r="E120" i="41"/>
  <c r="G119" i="41"/>
  <c r="I119" i="41" s="1"/>
  <c r="D120" i="41"/>
  <c r="H119" i="41"/>
  <c r="J123" i="27"/>
  <c r="D130" i="11"/>
  <c r="B130" i="11" s="1"/>
  <c r="J122" i="47"/>
  <c r="G129" i="11"/>
  <c r="I129" i="11" s="1"/>
  <c r="H129" i="11"/>
  <c r="J130" i="7"/>
  <c r="F128" i="5"/>
  <c r="H128" i="5" s="1"/>
  <c r="F131" i="7"/>
  <c r="E132" i="7" s="1"/>
  <c r="G123" i="47"/>
  <c r="D124" i="47"/>
  <c r="H129" i="9"/>
  <c r="D130" i="9"/>
  <c r="G129" i="9"/>
  <c r="I129" i="9" s="1"/>
  <c r="E130" i="9"/>
  <c r="B118" i="44"/>
  <c r="F118" i="44"/>
  <c r="E122" i="49"/>
  <c r="F122" i="49" s="1"/>
  <c r="B122" i="49"/>
  <c r="D118" i="45"/>
  <c r="G117" i="45"/>
  <c r="I117" i="45" s="1"/>
  <c r="E118" i="45"/>
  <c r="H119" i="39"/>
  <c r="G119" i="39"/>
  <c r="I119" i="39" s="1"/>
  <c r="D120" i="39"/>
  <c r="E120" i="39"/>
  <c r="H129" i="8"/>
  <c r="G129" i="8"/>
  <c r="I129" i="8" s="1"/>
  <c r="D130" i="8"/>
  <c r="B130" i="8" s="1"/>
  <c r="E130" i="8"/>
  <c r="H127" i="4"/>
  <c r="G127" i="4"/>
  <c r="I127" i="4" s="1"/>
  <c r="D128" i="4"/>
  <c r="B128" i="4" s="1"/>
  <c r="E128" i="4"/>
  <c r="F125" i="24"/>
  <c r="B125" i="24"/>
  <c r="E122" i="48"/>
  <c r="F122" i="48" s="1"/>
  <c r="B122" i="48"/>
  <c r="H121" i="49"/>
  <c r="I121" i="49"/>
  <c r="G119" i="42"/>
  <c r="I119" i="42" s="1"/>
  <c r="J119" i="42" s="1"/>
  <c r="D120" i="42"/>
  <c r="E120" i="42"/>
  <c r="H121" i="30"/>
  <c r="D122" i="30"/>
  <c r="G121" i="30"/>
  <c r="I121" i="30" s="1"/>
  <c r="E122" i="30"/>
  <c r="H125" i="23"/>
  <c r="D126" i="23"/>
  <c r="G125" i="23"/>
  <c r="I125" i="23" s="1"/>
  <c r="E126" i="23"/>
  <c r="H127" i="3"/>
  <c r="G127" i="3"/>
  <c r="I127" i="3" s="1"/>
  <c r="D128" i="3"/>
  <c r="B128" i="3" s="1"/>
  <c r="E128" i="3"/>
  <c r="J124" i="24"/>
  <c r="H122" i="31"/>
  <c r="G122" i="31"/>
  <c r="I122" i="31" s="1"/>
  <c r="D123" i="31"/>
  <c r="B123" i="31" s="1"/>
  <c r="E123" i="31"/>
  <c r="H121" i="48"/>
  <c r="I121" i="48"/>
  <c r="H118" i="40"/>
  <c r="G118" i="40"/>
  <c r="I118" i="40" s="1"/>
  <c r="D119" i="40"/>
  <c r="E119" i="40"/>
  <c r="H126" i="22"/>
  <c r="G126" i="22"/>
  <c r="I126" i="22" s="1"/>
  <c r="D127" i="22"/>
  <c r="B127" i="22" s="1"/>
  <c r="E127" i="22"/>
  <c r="H128" i="6"/>
  <c r="D129" i="6"/>
  <c r="B129" i="6" s="1"/>
  <c r="G128" i="6"/>
  <c r="I128" i="6" s="1"/>
  <c r="E129" i="6"/>
  <c r="H125" i="25"/>
  <c r="G125" i="25"/>
  <c r="I125" i="25" s="1"/>
  <c r="D126" i="25"/>
  <c r="E126" i="25"/>
  <c r="H116" i="46"/>
  <c r="G116" i="46"/>
  <c r="I116" i="46" s="1"/>
  <c r="D117" i="46"/>
  <c r="E117" i="46"/>
  <c r="H119" i="37"/>
  <c r="D120" i="37"/>
  <c r="G119" i="37"/>
  <c r="I119" i="37" s="1"/>
  <c r="E120" i="37"/>
  <c r="J127" i="5"/>
  <c r="J117" i="44"/>
  <c r="H122" i="29"/>
  <c r="G122" i="29"/>
  <c r="I122" i="29" s="1"/>
  <c r="D123" i="29"/>
  <c r="E123" i="29"/>
  <c r="H118" i="43"/>
  <c r="G118" i="43"/>
  <c r="I118" i="43" s="1"/>
  <c r="D119" i="43"/>
  <c r="E119" i="43"/>
  <c r="H117" i="45"/>
  <c r="H130" i="10"/>
  <c r="G130" i="10"/>
  <c r="I130" i="10" s="1"/>
  <c r="D131" i="10"/>
  <c r="B131" i="10" s="1"/>
  <c r="E131" i="10"/>
  <c r="H122" i="28"/>
  <c r="G122" i="28"/>
  <c r="I122" i="28" s="1"/>
  <c r="D123" i="28"/>
  <c r="B123" i="28" s="1"/>
  <c r="E123" i="28"/>
  <c r="F124" i="27" l="1"/>
  <c r="G124" i="27" s="1"/>
  <c r="I124" i="27" s="1"/>
  <c r="H120" i="38"/>
  <c r="D121" i="38"/>
  <c r="E121" i="38"/>
  <c r="G120" i="38"/>
  <c r="I120" i="38" s="1"/>
  <c r="G131" i="7"/>
  <c r="I131" i="7" s="1"/>
  <c r="D132" i="7"/>
  <c r="B132" i="7" s="1"/>
  <c r="H131" i="7"/>
  <c r="F130" i="11"/>
  <c r="E131" i="11" s="1"/>
  <c r="B120" i="41"/>
  <c r="F120" i="41"/>
  <c r="H120" i="41" s="1"/>
  <c r="J119" i="41"/>
  <c r="J119" i="37"/>
  <c r="H124" i="27"/>
  <c r="E129" i="5"/>
  <c r="F131" i="10"/>
  <c r="G131" i="10" s="1"/>
  <c r="I131" i="10" s="1"/>
  <c r="J128" i="6"/>
  <c r="J125" i="23"/>
  <c r="E125" i="27"/>
  <c r="G128" i="5"/>
  <c r="I128" i="5" s="1"/>
  <c r="J128" i="5" s="1"/>
  <c r="D125" i="27"/>
  <c r="B125" i="27" s="1"/>
  <c r="D129" i="5"/>
  <c r="B129" i="5" s="1"/>
  <c r="F132" i="7"/>
  <c r="E133" i="7" s="1"/>
  <c r="J129" i="11"/>
  <c r="F129" i="6"/>
  <c r="H129" i="6" s="1"/>
  <c r="F123" i="28"/>
  <c r="G123" i="28" s="1"/>
  <c r="I123" i="28" s="1"/>
  <c r="J121" i="30"/>
  <c r="D123" i="49"/>
  <c r="G122" i="49"/>
  <c r="B126" i="25"/>
  <c r="F126" i="25"/>
  <c r="B119" i="40"/>
  <c r="F119" i="40"/>
  <c r="F120" i="42"/>
  <c r="B120" i="42"/>
  <c r="G122" i="48"/>
  <c r="D123" i="48"/>
  <c r="B130" i="9"/>
  <c r="F130" i="9"/>
  <c r="B120" i="37"/>
  <c r="F120" i="37"/>
  <c r="J116" i="46"/>
  <c r="J125" i="25"/>
  <c r="J126" i="22"/>
  <c r="J118" i="40"/>
  <c r="F123" i="31"/>
  <c r="J127" i="3"/>
  <c r="B126" i="23"/>
  <c r="F126" i="23"/>
  <c r="B122" i="30"/>
  <c r="F122" i="30"/>
  <c r="F128" i="4"/>
  <c r="F130" i="8"/>
  <c r="H125" i="24"/>
  <c r="G125" i="24"/>
  <c r="I125" i="24" s="1"/>
  <c r="D126" i="24"/>
  <c r="B126" i="24" s="1"/>
  <c r="E126" i="24"/>
  <c r="G118" i="44"/>
  <c r="I118" i="44" s="1"/>
  <c r="D119" i="44"/>
  <c r="E119" i="44"/>
  <c r="J122" i="28"/>
  <c r="J130" i="10"/>
  <c r="B119" i="43"/>
  <c r="F119" i="43"/>
  <c r="B123" i="29"/>
  <c r="F123" i="29"/>
  <c r="J121" i="49"/>
  <c r="B120" i="39"/>
  <c r="F120" i="39"/>
  <c r="J117" i="45"/>
  <c r="E124" i="47"/>
  <c r="F124" i="47" s="1"/>
  <c r="B124" i="47"/>
  <c r="F117" i="46"/>
  <c r="H117" i="46" s="1"/>
  <c r="B117" i="46"/>
  <c r="J118" i="43"/>
  <c r="J122" i="29"/>
  <c r="F127" i="22"/>
  <c r="J121" i="48"/>
  <c r="J122" i="31"/>
  <c r="J124" i="27"/>
  <c r="F128" i="3"/>
  <c r="J127" i="4"/>
  <c r="J129" i="8"/>
  <c r="J119" i="39"/>
  <c r="B118" i="45"/>
  <c r="F118" i="45"/>
  <c r="H118" i="45" s="1"/>
  <c r="H118" i="44"/>
  <c r="J129" i="9"/>
  <c r="I123" i="47"/>
  <c r="H123" i="47"/>
  <c r="J120" i="38" l="1"/>
  <c r="F121" i="38"/>
  <c r="H121" i="38" s="1"/>
  <c r="B121" i="38"/>
  <c r="H131" i="10"/>
  <c r="J131" i="10" s="1"/>
  <c r="J131" i="7"/>
  <c r="D131" i="11"/>
  <c r="B131" i="11" s="1"/>
  <c r="G130" i="11"/>
  <c r="I130" i="11" s="1"/>
  <c r="H130" i="11"/>
  <c r="F129" i="5"/>
  <c r="H129" i="5" s="1"/>
  <c r="E130" i="6"/>
  <c r="F125" i="27"/>
  <c r="G125" i="27" s="1"/>
  <c r="I125" i="27" s="1"/>
  <c r="D124" i="28"/>
  <c r="B124" i="28" s="1"/>
  <c r="D133" i="7"/>
  <c r="B133" i="7" s="1"/>
  <c r="G120" i="41"/>
  <c r="I120" i="41" s="1"/>
  <c r="J120" i="41" s="1"/>
  <c r="D121" i="41"/>
  <c r="E121" i="41"/>
  <c r="J118" i="44"/>
  <c r="D130" i="6"/>
  <c r="B130" i="6" s="1"/>
  <c r="E132" i="10"/>
  <c r="G129" i="6"/>
  <c r="I129" i="6" s="1"/>
  <c r="J129" i="6" s="1"/>
  <c r="D132" i="10"/>
  <c r="B132" i="10" s="1"/>
  <c r="J125" i="24"/>
  <c r="G132" i="7"/>
  <c r="I132" i="7" s="1"/>
  <c r="H123" i="28"/>
  <c r="J123" i="28" s="1"/>
  <c r="H132" i="7"/>
  <c r="E124" i="28"/>
  <c r="F126" i="24"/>
  <c r="E127" i="24" s="1"/>
  <c r="B119" i="44"/>
  <c r="F119" i="44"/>
  <c r="H119" i="44" s="1"/>
  <c r="J123" i="47"/>
  <c r="G118" i="45"/>
  <c r="I118" i="45" s="1"/>
  <c r="J118" i="45" s="1"/>
  <c r="D119" i="45"/>
  <c r="E119" i="45"/>
  <c r="H128" i="3"/>
  <c r="G128" i="3"/>
  <c r="I128" i="3" s="1"/>
  <c r="D129" i="3"/>
  <c r="E129" i="3"/>
  <c r="F133" i="7"/>
  <c r="H127" i="22"/>
  <c r="G127" i="22"/>
  <c r="I127" i="22" s="1"/>
  <c r="D128" i="22"/>
  <c r="B128" i="22" s="1"/>
  <c r="E128" i="22"/>
  <c r="H120" i="39"/>
  <c r="G120" i="39"/>
  <c r="I120" i="39" s="1"/>
  <c r="D121" i="39"/>
  <c r="B121" i="39" s="1"/>
  <c r="E121" i="39"/>
  <c r="H123" i="29"/>
  <c r="G123" i="29"/>
  <c r="I123" i="29" s="1"/>
  <c r="D124" i="29"/>
  <c r="B124" i="29" s="1"/>
  <c r="E124" i="29"/>
  <c r="E130" i="5"/>
  <c r="H120" i="37"/>
  <c r="G120" i="37"/>
  <c r="I120" i="37" s="1"/>
  <c r="D121" i="37"/>
  <c r="B121" i="37" s="1"/>
  <c r="E121" i="37"/>
  <c r="E123" i="48"/>
  <c r="F123" i="48" s="1"/>
  <c r="B123" i="48"/>
  <c r="G120" i="42"/>
  <c r="I120" i="42" s="1"/>
  <c r="D121" i="42"/>
  <c r="E121" i="42"/>
  <c r="D118" i="46"/>
  <c r="G117" i="46"/>
  <c r="I117" i="46" s="1"/>
  <c r="J117" i="46" s="1"/>
  <c r="E118" i="46"/>
  <c r="H122" i="30"/>
  <c r="D123" i="30"/>
  <c r="B123" i="30" s="1"/>
  <c r="G122" i="30"/>
  <c r="I122" i="30" s="1"/>
  <c r="E123" i="30"/>
  <c r="H122" i="48"/>
  <c r="I122" i="48"/>
  <c r="H119" i="40"/>
  <c r="D120" i="40"/>
  <c r="G119" i="40"/>
  <c r="I119" i="40" s="1"/>
  <c r="E120" i="40"/>
  <c r="I122" i="49"/>
  <c r="H122" i="49"/>
  <c r="H128" i="4"/>
  <c r="G128" i="4"/>
  <c r="I128" i="4" s="1"/>
  <c r="D129" i="4"/>
  <c r="B129" i="4" s="1"/>
  <c r="E129" i="4"/>
  <c r="H126" i="23"/>
  <c r="G126" i="23"/>
  <c r="I126" i="23" s="1"/>
  <c r="D127" i="23"/>
  <c r="B127" i="23" s="1"/>
  <c r="E127" i="23"/>
  <c r="H123" i="31"/>
  <c r="G123" i="31"/>
  <c r="I123" i="31" s="1"/>
  <c r="D124" i="31"/>
  <c r="E124" i="31"/>
  <c r="H126" i="25"/>
  <c r="G126" i="25"/>
  <c r="I126" i="25" s="1"/>
  <c r="D127" i="25"/>
  <c r="B127" i="25" s="1"/>
  <c r="E127" i="25"/>
  <c r="G124" i="47"/>
  <c r="D125" i="47"/>
  <c r="H119" i="43"/>
  <c r="G119" i="43"/>
  <c r="I119" i="43" s="1"/>
  <c r="D120" i="43"/>
  <c r="E120" i="43"/>
  <c r="H130" i="8"/>
  <c r="G130" i="8"/>
  <c r="I130" i="8" s="1"/>
  <c r="D131" i="8"/>
  <c r="E131" i="8"/>
  <c r="F131" i="11"/>
  <c r="H130" i="9"/>
  <c r="G130" i="9"/>
  <c r="I130" i="9" s="1"/>
  <c r="D131" i="9"/>
  <c r="E131" i="9"/>
  <c r="H120" i="42"/>
  <c r="E123" i="49"/>
  <c r="F123" i="49" s="1"/>
  <c r="B123" i="49"/>
  <c r="G121" i="38" l="1"/>
  <c r="I121" i="38" s="1"/>
  <c r="J121" i="38" s="1"/>
  <c r="E122" i="38"/>
  <c r="D122" i="38"/>
  <c r="H125" i="27"/>
  <c r="J125" i="27" s="1"/>
  <c r="F124" i="28"/>
  <c r="J130" i="11"/>
  <c r="J155" i="11" s="1"/>
  <c r="D130" i="5"/>
  <c r="B130" i="5" s="1"/>
  <c r="G129" i="5"/>
  <c r="I129" i="5" s="1"/>
  <c r="E126" i="27"/>
  <c r="D126" i="27"/>
  <c r="B126" i="27" s="1"/>
  <c r="F132" i="10"/>
  <c r="E133" i="10" s="1"/>
  <c r="B121" i="41"/>
  <c r="F121" i="41"/>
  <c r="H121" i="41" s="1"/>
  <c r="F130" i="6"/>
  <c r="J130" i="9"/>
  <c r="J155" i="9" s="1"/>
  <c r="J132" i="7"/>
  <c r="D127" i="24"/>
  <c r="B127" i="24" s="1"/>
  <c r="J122" i="49"/>
  <c r="J126" i="25"/>
  <c r="J123" i="31"/>
  <c r="J126" i="23"/>
  <c r="J128" i="4"/>
  <c r="J122" i="30"/>
  <c r="G126" i="24"/>
  <c r="I126" i="24" s="1"/>
  <c r="F130" i="5"/>
  <c r="D131" i="5" s="1"/>
  <c r="B131" i="5" s="1"/>
  <c r="F124" i="29"/>
  <c r="G124" i="29" s="1"/>
  <c r="I124" i="29" s="1"/>
  <c r="F121" i="39"/>
  <c r="G121" i="39" s="1"/>
  <c r="I121" i="39" s="1"/>
  <c r="F128" i="22"/>
  <c r="D129" i="22" s="1"/>
  <c r="B129" i="22" s="1"/>
  <c r="J130" i="8"/>
  <c r="J119" i="43"/>
  <c r="J122" i="48"/>
  <c r="H126" i="24"/>
  <c r="J120" i="37"/>
  <c r="J129" i="5"/>
  <c r="J123" i="29"/>
  <c r="J120" i="39"/>
  <c r="J127" i="22"/>
  <c r="D124" i="49"/>
  <c r="G123" i="49"/>
  <c r="F118" i="46"/>
  <c r="H118" i="46" s="1"/>
  <c r="B118" i="46"/>
  <c r="D124" i="48"/>
  <c r="G123" i="48"/>
  <c r="B120" i="43"/>
  <c r="F120" i="43"/>
  <c r="H133" i="7"/>
  <c r="G133" i="7"/>
  <c r="I133" i="7" s="1"/>
  <c r="D134" i="7"/>
  <c r="E134" i="7"/>
  <c r="H131" i="11"/>
  <c r="D132" i="11"/>
  <c r="B132" i="11" s="1"/>
  <c r="G131" i="11"/>
  <c r="I131" i="11" s="1"/>
  <c r="E132" i="11"/>
  <c r="F127" i="25"/>
  <c r="F127" i="23"/>
  <c r="F129" i="4"/>
  <c r="J119" i="40"/>
  <c r="B121" i="42"/>
  <c r="F121" i="42"/>
  <c r="F129" i="3"/>
  <c r="B129" i="3"/>
  <c r="F119" i="45"/>
  <c r="B119" i="45"/>
  <c r="E120" i="44"/>
  <c r="D120" i="44"/>
  <c r="G119" i="44"/>
  <c r="I119" i="44" s="1"/>
  <c r="J119" i="44" s="1"/>
  <c r="F131" i="8"/>
  <c r="B131" i="8"/>
  <c r="H124" i="47"/>
  <c r="I124" i="47"/>
  <c r="H124" i="28"/>
  <c r="D125" i="28"/>
  <c r="B125" i="28" s="1"/>
  <c r="G124" i="28"/>
  <c r="I124" i="28" s="1"/>
  <c r="E125" i="28"/>
  <c r="B131" i="9"/>
  <c r="F131" i="9"/>
  <c r="E125" i="47"/>
  <c r="F125" i="47" s="1"/>
  <c r="B125" i="47"/>
  <c r="B124" i="31"/>
  <c r="F124" i="31"/>
  <c r="B120" i="40"/>
  <c r="F120" i="40"/>
  <c r="F123" i="30"/>
  <c r="J120" i="42"/>
  <c r="F121" i="37"/>
  <c r="J128" i="3"/>
  <c r="B122" i="38" l="1"/>
  <c r="F122" i="38"/>
  <c r="H122" i="38"/>
  <c r="H130" i="5"/>
  <c r="J130" i="5" s="1"/>
  <c r="H121" i="39"/>
  <c r="G130" i="5"/>
  <c r="I130" i="5" s="1"/>
  <c r="F126" i="27"/>
  <c r="D127" i="27" s="1"/>
  <c r="G128" i="22"/>
  <c r="I128" i="22" s="1"/>
  <c r="E125" i="29"/>
  <c r="H124" i="29"/>
  <c r="H128" i="22"/>
  <c r="E129" i="22"/>
  <c r="F129" i="22" s="1"/>
  <c r="D133" i="10"/>
  <c r="G132" i="10"/>
  <c r="I132" i="10" s="1"/>
  <c r="H132" i="10"/>
  <c r="G121" i="41"/>
  <c r="I121" i="41" s="1"/>
  <c r="J121" i="41" s="1"/>
  <c r="D122" i="41"/>
  <c r="E122" i="41"/>
  <c r="E131" i="6"/>
  <c r="H130" i="6"/>
  <c r="G130" i="6"/>
  <c r="I130" i="6" s="1"/>
  <c r="D131" i="6"/>
  <c r="F127" i="24"/>
  <c r="D128" i="24" s="1"/>
  <c r="B128" i="24" s="1"/>
  <c r="D122" i="39"/>
  <c r="B122" i="39" s="1"/>
  <c r="D125" i="29"/>
  <c r="B125" i="29" s="1"/>
  <c r="E122" i="39"/>
  <c r="J126" i="24"/>
  <c r="E131" i="5"/>
  <c r="F131" i="5" s="1"/>
  <c r="J124" i="28"/>
  <c r="D126" i="47"/>
  <c r="G125" i="47"/>
  <c r="H121" i="37"/>
  <c r="G121" i="37"/>
  <c r="I121" i="37" s="1"/>
  <c r="D122" i="37"/>
  <c r="E122" i="37"/>
  <c r="H127" i="23"/>
  <c r="G127" i="23"/>
  <c r="I127" i="23" s="1"/>
  <c r="D128" i="23"/>
  <c r="B128" i="23" s="1"/>
  <c r="E128" i="23"/>
  <c r="F134" i="7"/>
  <c r="B134" i="7"/>
  <c r="E124" i="48"/>
  <c r="F124" i="48" s="1"/>
  <c r="B124" i="48"/>
  <c r="H123" i="30"/>
  <c r="D124" i="30"/>
  <c r="B124" i="30" s="1"/>
  <c r="G123" i="30"/>
  <c r="I123" i="30" s="1"/>
  <c r="E124" i="30"/>
  <c r="H131" i="9"/>
  <c r="D132" i="9"/>
  <c r="G131" i="9"/>
  <c r="I131" i="9" s="1"/>
  <c r="E132" i="9"/>
  <c r="H129" i="3"/>
  <c r="D130" i="3"/>
  <c r="B130" i="3" s="1"/>
  <c r="G129" i="3"/>
  <c r="I129" i="3" s="1"/>
  <c r="E130" i="3"/>
  <c r="H127" i="25"/>
  <c r="D128" i="25"/>
  <c r="B128" i="25" s="1"/>
  <c r="G127" i="25"/>
  <c r="I127" i="25" s="1"/>
  <c r="E128" i="25"/>
  <c r="J133" i="7"/>
  <c r="H120" i="43"/>
  <c r="G120" i="43"/>
  <c r="I120" i="43" s="1"/>
  <c r="D121" i="43"/>
  <c r="B121" i="43" s="1"/>
  <c r="E121" i="43"/>
  <c r="B120" i="44"/>
  <c r="F120" i="44"/>
  <c r="H120" i="44" s="1"/>
  <c r="H121" i="42"/>
  <c r="G121" i="42"/>
  <c r="I121" i="42" s="1"/>
  <c r="D122" i="42"/>
  <c r="E122" i="42"/>
  <c r="F132" i="11"/>
  <c r="G126" i="27"/>
  <c r="I126" i="27" s="1"/>
  <c r="I123" i="49"/>
  <c r="H123" i="49"/>
  <c r="H124" i="31"/>
  <c r="G124" i="31"/>
  <c r="I124" i="31" s="1"/>
  <c r="D125" i="31"/>
  <c r="E125" i="31"/>
  <c r="H120" i="40"/>
  <c r="G120" i="40"/>
  <c r="I120" i="40" s="1"/>
  <c r="D121" i="40"/>
  <c r="B121" i="40" s="1"/>
  <c r="E121" i="40"/>
  <c r="H131" i="8"/>
  <c r="G131" i="8"/>
  <c r="I131" i="8" s="1"/>
  <c r="D132" i="8"/>
  <c r="E132" i="8"/>
  <c r="F125" i="28"/>
  <c r="J124" i="47"/>
  <c r="H119" i="45"/>
  <c r="D120" i="45"/>
  <c r="G119" i="45"/>
  <c r="I119" i="45" s="1"/>
  <c r="E120" i="45"/>
  <c r="H129" i="4"/>
  <c r="G129" i="4"/>
  <c r="I129" i="4" s="1"/>
  <c r="D130" i="4"/>
  <c r="B130" i="4" s="1"/>
  <c r="E130" i="4"/>
  <c r="I123" i="48"/>
  <c r="H123" i="48"/>
  <c r="J121" i="39"/>
  <c r="J124" i="29"/>
  <c r="G118" i="46"/>
  <c r="I118" i="46" s="1"/>
  <c r="J118" i="46" s="1"/>
  <c r="D119" i="46"/>
  <c r="E119" i="46"/>
  <c r="E124" i="49"/>
  <c r="F124" i="49" s="1"/>
  <c r="B124" i="49"/>
  <c r="D123" i="38" l="1"/>
  <c r="G122" i="38"/>
  <c r="I122" i="38" s="1"/>
  <c r="J122" i="38" s="1"/>
  <c r="E123" i="38"/>
  <c r="H126" i="27"/>
  <c r="E127" i="27"/>
  <c r="G127" i="24"/>
  <c r="I127" i="24" s="1"/>
  <c r="J128" i="22"/>
  <c r="E128" i="24"/>
  <c r="F128" i="24" s="1"/>
  <c r="D129" i="24" s="1"/>
  <c r="H127" i="24"/>
  <c r="J132" i="10"/>
  <c r="B133" i="10"/>
  <c r="F133" i="10"/>
  <c r="B122" i="41"/>
  <c r="F122" i="41"/>
  <c r="H122" i="41" s="1"/>
  <c r="J130" i="6"/>
  <c r="F122" i="39"/>
  <c r="H122" i="39" s="1"/>
  <c r="B131" i="6"/>
  <c r="F131" i="6"/>
  <c r="H131" i="6" s="1"/>
  <c r="F125" i="29"/>
  <c r="J127" i="23"/>
  <c r="J123" i="49"/>
  <c r="J120" i="43"/>
  <c r="J121" i="37"/>
  <c r="J119" i="45"/>
  <c r="D125" i="49"/>
  <c r="G124" i="49"/>
  <c r="D125" i="48"/>
  <c r="G124" i="48"/>
  <c r="B119" i="46"/>
  <c r="F119" i="46"/>
  <c r="H119" i="46" s="1"/>
  <c r="H131" i="5"/>
  <c r="D132" i="5"/>
  <c r="B132" i="5" s="1"/>
  <c r="G131" i="5"/>
  <c r="I131" i="5" s="1"/>
  <c r="E132" i="5"/>
  <c r="J129" i="4"/>
  <c r="F120" i="45"/>
  <c r="H120" i="45" s="1"/>
  <c r="B120" i="45"/>
  <c r="F121" i="40"/>
  <c r="J126" i="27"/>
  <c r="B122" i="42"/>
  <c r="F122" i="42"/>
  <c r="H122" i="42" s="1"/>
  <c r="D121" i="44"/>
  <c r="G120" i="44"/>
  <c r="I120" i="44" s="1"/>
  <c r="J120" i="44" s="1"/>
  <c r="E121" i="44"/>
  <c r="F128" i="25"/>
  <c r="F130" i="3"/>
  <c r="F124" i="30"/>
  <c r="H134" i="7"/>
  <c r="G134" i="7"/>
  <c r="I134" i="7" s="1"/>
  <c r="D135" i="7"/>
  <c r="E135" i="7"/>
  <c r="H125" i="28"/>
  <c r="G125" i="28"/>
  <c r="I125" i="28" s="1"/>
  <c r="D126" i="28"/>
  <c r="B126" i="28" s="1"/>
  <c r="E126" i="28"/>
  <c r="B127" i="27"/>
  <c r="F127" i="27"/>
  <c r="B132" i="8"/>
  <c r="F132" i="8"/>
  <c r="B125" i="31"/>
  <c r="F125" i="31"/>
  <c r="J121" i="42"/>
  <c r="F121" i="43"/>
  <c r="J127" i="25"/>
  <c r="J129" i="3"/>
  <c r="J123" i="30"/>
  <c r="F128" i="23"/>
  <c r="I125" i="47"/>
  <c r="H125" i="47"/>
  <c r="H129" i="22"/>
  <c r="D130" i="22"/>
  <c r="B130" i="22" s="1"/>
  <c r="G129" i="22"/>
  <c r="I129" i="22" s="1"/>
  <c r="E130" i="22"/>
  <c r="J123" i="48"/>
  <c r="F130" i="4"/>
  <c r="J131" i="8"/>
  <c r="J120" i="40"/>
  <c r="J124" i="31"/>
  <c r="H132" i="11"/>
  <c r="D133" i="11"/>
  <c r="B133" i="11" s="1"/>
  <c r="G132" i="11"/>
  <c r="I132" i="11" s="1"/>
  <c r="E133" i="11"/>
  <c r="F132" i="9"/>
  <c r="B132" i="9"/>
  <c r="B122" i="37"/>
  <c r="F122" i="37"/>
  <c r="E126" i="47"/>
  <c r="F126" i="47" s="1"/>
  <c r="B126" i="47"/>
  <c r="B123" i="38" l="1"/>
  <c r="F123" i="38"/>
  <c r="H123" i="38"/>
  <c r="J127" i="24"/>
  <c r="E123" i="39"/>
  <c r="G122" i="39"/>
  <c r="I122" i="39" s="1"/>
  <c r="D123" i="39"/>
  <c r="B123" i="39" s="1"/>
  <c r="G128" i="24"/>
  <c r="I128" i="24" s="1"/>
  <c r="H128" i="24"/>
  <c r="D134" i="10"/>
  <c r="E134" i="10"/>
  <c r="H133" i="10"/>
  <c r="G133" i="10"/>
  <c r="I133" i="10" s="1"/>
  <c r="E129" i="24"/>
  <c r="E123" i="41"/>
  <c r="G122" i="41"/>
  <c r="I122" i="41" s="1"/>
  <c r="J122" i="41" s="1"/>
  <c r="D123" i="41"/>
  <c r="G131" i="6"/>
  <c r="I131" i="6" s="1"/>
  <c r="J131" i="6" s="1"/>
  <c r="E132" i="6"/>
  <c r="D132" i="6"/>
  <c r="G125" i="29"/>
  <c r="I125" i="29" s="1"/>
  <c r="E126" i="29"/>
  <c r="H125" i="29"/>
  <c r="D126" i="29"/>
  <c r="F132" i="5"/>
  <c r="J129" i="22"/>
  <c r="J125" i="28"/>
  <c r="J134" i="7"/>
  <c r="H122" i="37"/>
  <c r="D123" i="37"/>
  <c r="B123" i="37" s="1"/>
  <c r="G122" i="37"/>
  <c r="I122" i="37" s="1"/>
  <c r="E123" i="37"/>
  <c r="H132" i="9"/>
  <c r="G132" i="9"/>
  <c r="I132" i="9" s="1"/>
  <c r="D133" i="9"/>
  <c r="B133" i="9" s="1"/>
  <c r="E133" i="9"/>
  <c r="H124" i="48"/>
  <c r="I124" i="48"/>
  <c r="H130" i="4"/>
  <c r="G130" i="4"/>
  <c r="I130" i="4" s="1"/>
  <c r="D131" i="4"/>
  <c r="B131" i="4" s="1"/>
  <c r="E131" i="4"/>
  <c r="B129" i="24"/>
  <c r="F129" i="24"/>
  <c r="J125" i="47"/>
  <c r="H121" i="43"/>
  <c r="D122" i="43"/>
  <c r="B122" i="43" s="1"/>
  <c r="G121" i="43"/>
  <c r="I121" i="43" s="1"/>
  <c r="E122" i="43"/>
  <c r="H125" i="31"/>
  <c r="G125" i="31"/>
  <c r="I125" i="31" s="1"/>
  <c r="D126" i="31"/>
  <c r="E126" i="31"/>
  <c r="H127" i="27"/>
  <c r="G127" i="27"/>
  <c r="I127" i="27" s="1"/>
  <c r="D128" i="27"/>
  <c r="B128" i="27" s="1"/>
  <c r="E128" i="27"/>
  <c r="G122" i="42"/>
  <c r="I122" i="42" s="1"/>
  <c r="J122" i="42" s="1"/>
  <c r="D123" i="42"/>
  <c r="E123" i="42"/>
  <c r="H132" i="5"/>
  <c r="G132" i="5"/>
  <c r="I132" i="5" s="1"/>
  <c r="D133" i="5"/>
  <c r="E133" i="5"/>
  <c r="E125" i="48"/>
  <c r="F125" i="48" s="1"/>
  <c r="B125" i="48"/>
  <c r="F135" i="7"/>
  <c r="B135" i="7"/>
  <c r="D127" i="47"/>
  <c r="B127" i="47" s="1"/>
  <c r="G126" i="47"/>
  <c r="E127" i="47"/>
  <c r="F133" i="11"/>
  <c r="H128" i="23"/>
  <c r="D129" i="23"/>
  <c r="B129" i="23" s="1"/>
  <c r="G128" i="23"/>
  <c r="I128" i="23" s="1"/>
  <c r="E129" i="23"/>
  <c r="H128" i="25"/>
  <c r="D129" i="25"/>
  <c r="G128" i="25"/>
  <c r="I128" i="25" s="1"/>
  <c r="E129" i="25"/>
  <c r="J131" i="5"/>
  <c r="D120" i="46"/>
  <c r="G119" i="46"/>
  <c r="I119" i="46" s="1"/>
  <c r="J119" i="46" s="1"/>
  <c r="E120" i="46"/>
  <c r="I124" i="49"/>
  <c r="H124" i="49"/>
  <c r="H130" i="3"/>
  <c r="D131" i="3"/>
  <c r="B131" i="3" s="1"/>
  <c r="G130" i="3"/>
  <c r="I130" i="3" s="1"/>
  <c r="E131" i="3"/>
  <c r="H121" i="40"/>
  <c r="G121" i="40"/>
  <c r="I121" i="40" s="1"/>
  <c r="D122" i="40"/>
  <c r="B122" i="40" s="1"/>
  <c r="E122" i="40"/>
  <c r="J122" i="39"/>
  <c r="F130" i="22"/>
  <c r="H132" i="8"/>
  <c r="G132" i="8"/>
  <c r="I132" i="8" s="1"/>
  <c r="D133" i="8"/>
  <c r="E133" i="8"/>
  <c r="F126" i="28"/>
  <c r="H124" i="30"/>
  <c r="D125" i="30"/>
  <c r="G124" i="30"/>
  <c r="I124" i="30" s="1"/>
  <c r="E125" i="30"/>
  <c r="B121" i="44"/>
  <c r="F121" i="44"/>
  <c r="H121" i="44" s="1"/>
  <c r="D121" i="45"/>
  <c r="B121" i="45" s="1"/>
  <c r="G120" i="45"/>
  <c r="I120" i="45" s="1"/>
  <c r="J120" i="45" s="1"/>
  <c r="E121" i="45"/>
  <c r="E125" i="49"/>
  <c r="F125" i="49" s="1"/>
  <c r="B125" i="49"/>
  <c r="G123" i="38" l="1"/>
  <c r="I123" i="38" s="1"/>
  <c r="J123" i="38" s="1"/>
  <c r="D124" i="38"/>
  <c r="E124" i="38"/>
  <c r="F123" i="39"/>
  <c r="E124" i="39" s="1"/>
  <c r="J128" i="24"/>
  <c r="B134" i="10"/>
  <c r="F134" i="10"/>
  <c r="J133" i="10"/>
  <c r="B123" i="41"/>
  <c r="F123" i="41"/>
  <c r="J128" i="25"/>
  <c r="J127" i="27"/>
  <c r="J125" i="31"/>
  <c r="J124" i="48"/>
  <c r="J128" i="23"/>
  <c r="J122" i="37"/>
  <c r="B132" i="6"/>
  <c r="F132" i="6"/>
  <c r="H132" i="6" s="1"/>
  <c r="J124" i="30"/>
  <c r="F131" i="3"/>
  <c r="G131" i="3" s="1"/>
  <c r="I131" i="3" s="1"/>
  <c r="F127" i="47"/>
  <c r="G127" i="47" s="1"/>
  <c r="B126" i="29"/>
  <c r="F126" i="29"/>
  <c r="J125" i="29"/>
  <c r="J121" i="43"/>
  <c r="F131" i="4"/>
  <c r="D132" i="4" s="1"/>
  <c r="J121" i="40"/>
  <c r="J124" i="49"/>
  <c r="F128" i="27"/>
  <c r="G128" i="27" s="1"/>
  <c r="I128" i="27" s="1"/>
  <c r="F122" i="43"/>
  <c r="H122" i="43" s="1"/>
  <c r="J130" i="4"/>
  <c r="F133" i="9"/>
  <c r="E134" i="9" s="1"/>
  <c r="F123" i="37"/>
  <c r="D124" i="37" s="1"/>
  <c r="B124" i="37" s="1"/>
  <c r="F122" i="40"/>
  <c r="E123" i="40" s="1"/>
  <c r="D126" i="48"/>
  <c r="G125" i="48"/>
  <c r="G125" i="49"/>
  <c r="D126" i="49"/>
  <c r="H126" i="28"/>
  <c r="D127" i="28"/>
  <c r="B127" i="28" s="1"/>
  <c r="G126" i="28"/>
  <c r="I126" i="28" s="1"/>
  <c r="E127" i="28"/>
  <c r="H133" i="11"/>
  <c r="G133" i="11"/>
  <c r="I133" i="11" s="1"/>
  <c r="D134" i="11"/>
  <c r="E134" i="11"/>
  <c r="B120" i="46"/>
  <c r="F120" i="46"/>
  <c r="F129" i="25"/>
  <c r="B129" i="25"/>
  <c r="H135" i="7"/>
  <c r="D136" i="7"/>
  <c r="B136" i="7" s="1"/>
  <c r="G135" i="7"/>
  <c r="I135" i="7" s="1"/>
  <c r="E136" i="7"/>
  <c r="F126" i="31"/>
  <c r="B126" i="31"/>
  <c r="F121" i="45"/>
  <c r="G121" i="44"/>
  <c r="I121" i="44" s="1"/>
  <c r="J121" i="44" s="1"/>
  <c r="D122" i="44"/>
  <c r="E122" i="44"/>
  <c r="B125" i="30"/>
  <c r="F125" i="30"/>
  <c r="B133" i="8"/>
  <c r="F133" i="8"/>
  <c r="H130" i="22"/>
  <c r="G130" i="22"/>
  <c r="I130" i="22" s="1"/>
  <c r="D131" i="22"/>
  <c r="E131" i="22"/>
  <c r="J130" i="3"/>
  <c r="H126" i="47"/>
  <c r="I126" i="47"/>
  <c r="B133" i="5"/>
  <c r="F133" i="5"/>
  <c r="B123" i="42"/>
  <c r="F123" i="42"/>
  <c r="G131" i="4"/>
  <c r="I131" i="4" s="1"/>
  <c r="H129" i="24"/>
  <c r="G129" i="24"/>
  <c r="I129" i="24" s="1"/>
  <c r="D130" i="24"/>
  <c r="E130" i="24"/>
  <c r="J132" i="8"/>
  <c r="F129" i="23"/>
  <c r="D124" i="39"/>
  <c r="B124" i="39" s="1"/>
  <c r="J132" i="5"/>
  <c r="G123" i="39" l="1"/>
  <c r="I123" i="39" s="1"/>
  <c r="H123" i="39"/>
  <c r="B124" i="38"/>
  <c r="F124" i="38"/>
  <c r="D132" i="3"/>
  <c r="B132" i="3" s="1"/>
  <c r="E123" i="43"/>
  <c r="D123" i="43"/>
  <c r="B123" i="43" s="1"/>
  <c r="H131" i="3"/>
  <c r="J131" i="3" s="1"/>
  <c r="G122" i="40"/>
  <c r="I122" i="40" s="1"/>
  <c r="E132" i="3"/>
  <c r="D134" i="9"/>
  <c r="B134" i="9" s="1"/>
  <c r="D123" i="40"/>
  <c r="B123" i="40" s="1"/>
  <c r="D128" i="47"/>
  <c r="G134" i="10"/>
  <c r="I134" i="10" s="1"/>
  <c r="H134" i="10"/>
  <c r="D135" i="10"/>
  <c r="E135" i="10"/>
  <c r="G123" i="41"/>
  <c r="I123" i="41" s="1"/>
  <c r="D124" i="41"/>
  <c r="E124" i="41"/>
  <c r="H123" i="41"/>
  <c r="G123" i="37"/>
  <c r="I123" i="37" s="1"/>
  <c r="D129" i="27"/>
  <c r="B129" i="27" s="1"/>
  <c r="G132" i="6"/>
  <c r="I132" i="6" s="1"/>
  <c r="J132" i="6" s="1"/>
  <c r="E133" i="6"/>
  <c r="D133" i="6"/>
  <c r="G133" i="9"/>
  <c r="I133" i="9" s="1"/>
  <c r="H133" i="9"/>
  <c r="H131" i="4"/>
  <c r="J131" i="4" s="1"/>
  <c r="E127" i="29"/>
  <c r="D127" i="29"/>
  <c r="G126" i="29"/>
  <c r="I126" i="29" s="1"/>
  <c r="E132" i="4"/>
  <c r="F132" i="4" s="1"/>
  <c r="G122" i="43"/>
  <c r="I122" i="43" s="1"/>
  <c r="J122" i="43" s="1"/>
  <c r="H122" i="40"/>
  <c r="J122" i="40" s="1"/>
  <c r="H126" i="29"/>
  <c r="H123" i="37"/>
  <c r="J123" i="37" s="1"/>
  <c r="H128" i="27"/>
  <c r="J128" i="27" s="1"/>
  <c r="E129" i="27"/>
  <c r="E124" i="37"/>
  <c r="F124" i="37" s="1"/>
  <c r="G124" i="37" s="1"/>
  <c r="I124" i="37" s="1"/>
  <c r="F132" i="3"/>
  <c r="H132" i="3" s="1"/>
  <c r="F127" i="28"/>
  <c r="E128" i="28" s="1"/>
  <c r="F136" i="7"/>
  <c r="G136" i="7" s="1"/>
  <c r="I136" i="7" s="1"/>
  <c r="J126" i="28"/>
  <c r="J126" i="47"/>
  <c r="J135" i="7"/>
  <c r="B132" i="4"/>
  <c r="H123" i="42"/>
  <c r="D124" i="42"/>
  <c r="G123" i="42"/>
  <c r="I123" i="42" s="1"/>
  <c r="E124" i="42"/>
  <c r="B122" i="44"/>
  <c r="F122" i="44"/>
  <c r="E128" i="47"/>
  <c r="F128" i="47" s="1"/>
  <c r="B128" i="47"/>
  <c r="H129" i="25"/>
  <c r="D130" i="25"/>
  <c r="B130" i="25" s="1"/>
  <c r="G129" i="25"/>
  <c r="I129" i="25" s="1"/>
  <c r="E130" i="25"/>
  <c r="E126" i="49"/>
  <c r="F126" i="49" s="1"/>
  <c r="B126" i="49"/>
  <c r="J123" i="39"/>
  <c r="J130" i="22"/>
  <c r="J155" i="22" s="1"/>
  <c r="H125" i="30"/>
  <c r="G125" i="30"/>
  <c r="I125" i="30" s="1"/>
  <c r="D126" i="30"/>
  <c r="E126" i="30"/>
  <c r="H127" i="47"/>
  <c r="I127" i="47"/>
  <c r="H120" i="46"/>
  <c r="G120" i="46"/>
  <c r="I120" i="46" s="1"/>
  <c r="D121" i="46"/>
  <c r="E121" i="46"/>
  <c r="H125" i="49"/>
  <c r="I125" i="49"/>
  <c r="B131" i="22"/>
  <c r="F131" i="22"/>
  <c r="H133" i="5"/>
  <c r="G133" i="5"/>
  <c r="I133" i="5" s="1"/>
  <c r="D134" i="5"/>
  <c r="B134" i="5" s="1"/>
  <c r="E134" i="5"/>
  <c r="H121" i="45"/>
  <c r="G121" i="45"/>
  <c r="I121" i="45" s="1"/>
  <c r="D122" i="45"/>
  <c r="E122" i="45"/>
  <c r="H125" i="48"/>
  <c r="I125" i="48"/>
  <c r="B130" i="24"/>
  <c r="F130" i="24"/>
  <c r="F124" i="39"/>
  <c r="H129" i="23"/>
  <c r="G129" i="23"/>
  <c r="I129" i="23" s="1"/>
  <c r="D130" i="23"/>
  <c r="E130" i="23"/>
  <c r="J129" i="24"/>
  <c r="H133" i="8"/>
  <c r="G133" i="8"/>
  <c r="I133" i="8" s="1"/>
  <c r="D134" i="8"/>
  <c r="E134" i="8"/>
  <c r="H126" i="31"/>
  <c r="G126" i="31"/>
  <c r="I126" i="31" s="1"/>
  <c r="D127" i="31"/>
  <c r="B127" i="31" s="1"/>
  <c r="E127" i="31"/>
  <c r="F123" i="43"/>
  <c r="F134" i="11"/>
  <c r="B134" i="11"/>
  <c r="E126" i="48"/>
  <c r="F126" i="48" s="1"/>
  <c r="B126" i="48"/>
  <c r="G124" i="38" l="1"/>
  <c r="I124" i="38" s="1"/>
  <c r="E125" i="38"/>
  <c r="D125" i="38"/>
  <c r="H124" i="38"/>
  <c r="F123" i="40"/>
  <c r="E124" i="40" s="1"/>
  <c r="F134" i="9"/>
  <c r="D135" i="9" s="1"/>
  <c r="D128" i="28"/>
  <c r="B128" i="28" s="1"/>
  <c r="G127" i="28"/>
  <c r="I127" i="28" s="1"/>
  <c r="F129" i="27"/>
  <c r="E133" i="3"/>
  <c r="D133" i="3"/>
  <c r="B133" i="3" s="1"/>
  <c r="G132" i="3"/>
  <c r="I132" i="3" s="1"/>
  <c r="J132" i="3" s="1"/>
  <c r="D124" i="40"/>
  <c r="B124" i="40" s="1"/>
  <c r="E125" i="37"/>
  <c r="G123" i="40"/>
  <c r="I123" i="40" s="1"/>
  <c r="H123" i="40"/>
  <c r="B135" i="10"/>
  <c r="F135" i="10"/>
  <c r="J134" i="10"/>
  <c r="F124" i="41"/>
  <c r="B124" i="41"/>
  <c r="J123" i="41"/>
  <c r="J126" i="29"/>
  <c r="B133" i="6"/>
  <c r="F133" i="6"/>
  <c r="H133" i="6" s="1"/>
  <c r="H136" i="7"/>
  <c r="J136" i="7" s="1"/>
  <c r="E135" i="9"/>
  <c r="F135" i="9" s="1"/>
  <c r="E137" i="7"/>
  <c r="H127" i="28"/>
  <c r="G134" i="9"/>
  <c r="I134" i="9" s="1"/>
  <c r="H124" i="37"/>
  <c r="J124" i="37" s="1"/>
  <c r="D137" i="7"/>
  <c r="B137" i="7" s="1"/>
  <c r="F127" i="29"/>
  <c r="B127" i="29"/>
  <c r="F130" i="25"/>
  <c r="H130" i="25" s="1"/>
  <c r="J129" i="23"/>
  <c r="J125" i="48"/>
  <c r="D125" i="37"/>
  <c r="J129" i="25"/>
  <c r="J133" i="8"/>
  <c r="G126" i="49"/>
  <c r="D127" i="49"/>
  <c r="E127" i="49"/>
  <c r="D127" i="48"/>
  <c r="G126" i="48"/>
  <c r="F133" i="3"/>
  <c r="B126" i="30"/>
  <c r="F126" i="30"/>
  <c r="D123" i="44"/>
  <c r="G122" i="44"/>
  <c r="I122" i="44" s="1"/>
  <c r="E123" i="44"/>
  <c r="B124" i="42"/>
  <c r="F124" i="42"/>
  <c r="J126" i="31"/>
  <c r="B134" i="8"/>
  <c r="F134" i="8"/>
  <c r="F128" i="28"/>
  <c r="B135" i="9"/>
  <c r="J121" i="45"/>
  <c r="J133" i="5"/>
  <c r="H131" i="22"/>
  <c r="G131" i="22"/>
  <c r="I131" i="22" s="1"/>
  <c r="D132" i="22"/>
  <c r="E132" i="22"/>
  <c r="J127" i="47"/>
  <c r="J125" i="30"/>
  <c r="D129" i="47"/>
  <c r="G128" i="47"/>
  <c r="H123" i="43"/>
  <c r="D124" i="43"/>
  <c r="B124" i="43" s="1"/>
  <c r="G123" i="43"/>
  <c r="I123" i="43" s="1"/>
  <c r="E124" i="43"/>
  <c r="H124" i="39"/>
  <c r="G124" i="39"/>
  <c r="I124" i="39" s="1"/>
  <c r="D125" i="39"/>
  <c r="B125" i="39" s="1"/>
  <c r="E125" i="39"/>
  <c r="H129" i="27"/>
  <c r="D130" i="27"/>
  <c r="B130" i="27" s="1"/>
  <c r="G129" i="27"/>
  <c r="I129" i="27" s="1"/>
  <c r="E130" i="27"/>
  <c r="B121" i="46"/>
  <c r="F121" i="46"/>
  <c r="H132" i="4"/>
  <c r="G132" i="4"/>
  <c r="I132" i="4" s="1"/>
  <c r="D133" i="4"/>
  <c r="E133" i="4"/>
  <c r="F122" i="45"/>
  <c r="H122" i="45" s="1"/>
  <c r="B122" i="45"/>
  <c r="H134" i="11"/>
  <c r="G134" i="11"/>
  <c r="I134" i="11" s="1"/>
  <c r="D135" i="11"/>
  <c r="E135" i="11"/>
  <c r="F127" i="31"/>
  <c r="B130" i="23"/>
  <c r="F130" i="23"/>
  <c r="H130" i="24"/>
  <c r="D131" i="24"/>
  <c r="B131" i="24" s="1"/>
  <c r="G130" i="24"/>
  <c r="I130" i="24" s="1"/>
  <c r="E131" i="24"/>
  <c r="F134" i="5"/>
  <c r="J125" i="49"/>
  <c r="J120" i="46"/>
  <c r="H122" i="44"/>
  <c r="J123" i="42"/>
  <c r="B125" i="38" l="1"/>
  <c r="F125" i="38"/>
  <c r="H125" i="38"/>
  <c r="J124" i="38"/>
  <c r="J127" i="28"/>
  <c r="H134" i="9"/>
  <c r="F137" i="7"/>
  <c r="F125" i="37"/>
  <c r="D126" i="37" s="1"/>
  <c r="B126" i="37" s="1"/>
  <c r="F124" i="40"/>
  <c r="J123" i="40"/>
  <c r="H135" i="10"/>
  <c r="E136" i="10"/>
  <c r="G135" i="10"/>
  <c r="I135" i="10" s="1"/>
  <c r="D136" i="10"/>
  <c r="H124" i="41"/>
  <c r="G124" i="41"/>
  <c r="I124" i="41" s="1"/>
  <c r="D125" i="41"/>
  <c r="E125" i="41"/>
  <c r="E134" i="6"/>
  <c r="G133" i="6"/>
  <c r="I133" i="6" s="1"/>
  <c r="J133" i="6" s="1"/>
  <c r="D134" i="6"/>
  <c r="E131" i="25"/>
  <c r="J132" i="4"/>
  <c r="D131" i="25"/>
  <c r="B131" i="25" s="1"/>
  <c r="G127" i="29"/>
  <c r="I127" i="29" s="1"/>
  <c r="D128" i="29"/>
  <c r="E128" i="29"/>
  <c r="B125" i="37"/>
  <c r="G130" i="25"/>
  <c r="I130" i="25" s="1"/>
  <c r="J130" i="25" s="1"/>
  <c r="H127" i="29"/>
  <c r="J130" i="24"/>
  <c r="J155" i="24" s="1"/>
  <c r="F130" i="27"/>
  <c r="E131" i="27" s="1"/>
  <c r="F131" i="24"/>
  <c r="G131" i="24" s="1"/>
  <c r="I131" i="24" s="1"/>
  <c r="J129" i="27"/>
  <c r="F124" i="43"/>
  <c r="E125" i="43" s="1"/>
  <c r="H130" i="23"/>
  <c r="G130" i="23"/>
  <c r="I130" i="23" s="1"/>
  <c r="D131" i="23"/>
  <c r="E131" i="23"/>
  <c r="H125" i="37"/>
  <c r="E127" i="48"/>
  <c r="F127" i="48" s="1"/>
  <c r="B127" i="48"/>
  <c r="F125" i="39"/>
  <c r="H128" i="47"/>
  <c r="I128" i="47"/>
  <c r="H128" i="28"/>
  <c r="G128" i="28"/>
  <c r="I128" i="28" s="1"/>
  <c r="D129" i="28"/>
  <c r="B129" i="28" s="1"/>
  <c r="E129" i="28"/>
  <c r="J122" i="44"/>
  <c r="H133" i="3"/>
  <c r="D134" i="3"/>
  <c r="G133" i="3"/>
  <c r="I133" i="3" s="1"/>
  <c r="E134" i="3"/>
  <c r="H134" i="5"/>
  <c r="G134" i="5"/>
  <c r="I134" i="5" s="1"/>
  <c r="D135" i="5"/>
  <c r="B135" i="5" s="1"/>
  <c r="E135" i="5"/>
  <c r="H127" i="31"/>
  <c r="G127" i="31"/>
  <c r="I127" i="31" s="1"/>
  <c r="D128" i="31"/>
  <c r="E128" i="31"/>
  <c r="H121" i="46"/>
  <c r="D122" i="46"/>
  <c r="G121" i="46"/>
  <c r="I121" i="46" s="1"/>
  <c r="E122" i="46"/>
  <c r="J123" i="43"/>
  <c r="E129" i="47"/>
  <c r="F129" i="47" s="1"/>
  <c r="B129" i="47"/>
  <c r="H137" i="7"/>
  <c r="G137" i="7"/>
  <c r="I137" i="7" s="1"/>
  <c r="D138" i="7"/>
  <c r="B138" i="7" s="1"/>
  <c r="E138" i="7"/>
  <c r="H135" i="9"/>
  <c r="D136" i="9"/>
  <c r="B136" i="9" s="1"/>
  <c r="G135" i="9"/>
  <c r="I135" i="9" s="1"/>
  <c r="E136" i="9"/>
  <c r="H134" i="8"/>
  <c r="G134" i="8"/>
  <c r="I134" i="8" s="1"/>
  <c r="D135" i="8"/>
  <c r="E135" i="8"/>
  <c r="H124" i="42"/>
  <c r="D125" i="42"/>
  <c r="G124" i="42"/>
  <c r="I124" i="42" s="1"/>
  <c r="E125" i="42"/>
  <c r="B123" i="44"/>
  <c r="F123" i="44"/>
  <c r="H123" i="44" s="1"/>
  <c r="B127" i="49"/>
  <c r="F127" i="49"/>
  <c r="B135" i="11"/>
  <c r="F135" i="11"/>
  <c r="D123" i="45"/>
  <c r="G122" i="45"/>
  <c r="I122" i="45" s="1"/>
  <c r="J122" i="45" s="1"/>
  <c r="E123" i="45"/>
  <c r="B133" i="4"/>
  <c r="F133" i="4"/>
  <c r="J124" i="39"/>
  <c r="H124" i="40"/>
  <c r="G124" i="40"/>
  <c r="I124" i="40" s="1"/>
  <c r="D125" i="40"/>
  <c r="B125" i="40" s="1"/>
  <c r="E125" i="40"/>
  <c r="B132" i="22"/>
  <c r="F132" i="22"/>
  <c r="H126" i="30"/>
  <c r="D127" i="30"/>
  <c r="B127" i="30" s="1"/>
  <c r="G126" i="30"/>
  <c r="I126" i="30" s="1"/>
  <c r="E127" i="30"/>
  <c r="I126" i="48"/>
  <c r="H126" i="48"/>
  <c r="H126" i="49"/>
  <c r="I126" i="49"/>
  <c r="D126" i="38" l="1"/>
  <c r="G125" i="38"/>
  <c r="I125" i="38" s="1"/>
  <c r="J125" i="38" s="1"/>
  <c r="E126" i="38"/>
  <c r="E126" i="37"/>
  <c r="F126" i="37" s="1"/>
  <c r="E127" i="37" s="1"/>
  <c r="G125" i="37"/>
  <c r="I125" i="37" s="1"/>
  <c r="G124" i="43"/>
  <c r="I124" i="43" s="1"/>
  <c r="J124" i="41"/>
  <c r="J135" i="10"/>
  <c r="B136" i="10"/>
  <c r="F136" i="10"/>
  <c r="H136" i="10" s="1"/>
  <c r="H124" i="43"/>
  <c r="B125" i="41"/>
  <c r="F125" i="41"/>
  <c r="H125" i="41" s="1"/>
  <c r="J130" i="23"/>
  <c r="J155" i="23" s="1"/>
  <c r="F131" i="25"/>
  <c r="G131" i="25" s="1"/>
  <c r="I131" i="25" s="1"/>
  <c r="D132" i="24"/>
  <c r="B132" i="24" s="1"/>
  <c r="H131" i="24"/>
  <c r="J127" i="31"/>
  <c r="B134" i="6"/>
  <c r="F134" i="6"/>
  <c r="H134" i="6" s="1"/>
  <c r="J124" i="42"/>
  <c r="D131" i="27"/>
  <c r="B131" i="27" s="1"/>
  <c r="J127" i="29"/>
  <c r="E132" i="24"/>
  <c r="B128" i="29"/>
  <c r="F128" i="29"/>
  <c r="J134" i="5"/>
  <c r="F129" i="28"/>
  <c r="H129" i="28" s="1"/>
  <c r="J128" i="47"/>
  <c r="J121" i="46"/>
  <c r="J133" i="3"/>
  <c r="D125" i="43"/>
  <c r="B125" i="43" s="1"/>
  <c r="G130" i="27"/>
  <c r="I130" i="27" s="1"/>
  <c r="J125" i="37"/>
  <c r="H130" i="27"/>
  <c r="J126" i="49"/>
  <c r="F135" i="5"/>
  <c r="H135" i="5" s="1"/>
  <c r="J128" i="28"/>
  <c r="D130" i="47"/>
  <c r="G129" i="47"/>
  <c r="J126" i="48"/>
  <c r="F125" i="40"/>
  <c r="H133" i="4"/>
  <c r="G133" i="4"/>
  <c r="I133" i="4" s="1"/>
  <c r="D134" i="4"/>
  <c r="E134" i="4"/>
  <c r="F123" i="45"/>
  <c r="H123" i="45" s="1"/>
  <c r="B123" i="45"/>
  <c r="D124" i="44"/>
  <c r="G123" i="44"/>
  <c r="I123" i="44" s="1"/>
  <c r="J123" i="44" s="1"/>
  <c r="E124" i="44"/>
  <c r="B125" i="42"/>
  <c r="F125" i="42"/>
  <c r="J134" i="8"/>
  <c r="J137" i="7"/>
  <c r="F122" i="46"/>
  <c r="H122" i="46" s="1"/>
  <c r="B122" i="46"/>
  <c r="B128" i="31"/>
  <c r="F128" i="31"/>
  <c r="F131" i="23"/>
  <c r="B131" i="23"/>
  <c r="H125" i="39"/>
  <c r="G125" i="39"/>
  <c r="I125" i="39" s="1"/>
  <c r="D126" i="39"/>
  <c r="B126" i="39" s="1"/>
  <c r="E126" i="39"/>
  <c r="F127" i="30"/>
  <c r="H131" i="25"/>
  <c r="D128" i="49"/>
  <c r="B128" i="49" s="1"/>
  <c r="G127" i="49"/>
  <c r="E128" i="49"/>
  <c r="B134" i="3"/>
  <c r="F134" i="3"/>
  <c r="G127" i="48"/>
  <c r="D128" i="48"/>
  <c r="H135" i="11"/>
  <c r="D136" i="11"/>
  <c r="G135" i="11"/>
  <c r="I135" i="11" s="1"/>
  <c r="E136" i="11"/>
  <c r="F135" i="8"/>
  <c r="B135" i="8"/>
  <c r="J126" i="30"/>
  <c r="H132" i="22"/>
  <c r="G132" i="22"/>
  <c r="I132" i="22" s="1"/>
  <c r="D133" i="22"/>
  <c r="E133" i="22"/>
  <c r="J124" i="40"/>
  <c r="F136" i="9"/>
  <c r="F138" i="7"/>
  <c r="B126" i="38" l="1"/>
  <c r="F126" i="38"/>
  <c r="H126" i="38"/>
  <c r="F131" i="27"/>
  <c r="G129" i="28"/>
  <c r="I129" i="28" s="1"/>
  <c r="J124" i="43"/>
  <c r="E130" i="28"/>
  <c r="D132" i="25"/>
  <c r="B132" i="25" s="1"/>
  <c r="E132" i="25"/>
  <c r="D127" i="37"/>
  <c r="B127" i="37" s="1"/>
  <c r="D137" i="10"/>
  <c r="E137" i="10"/>
  <c r="G136" i="10"/>
  <c r="I136" i="10" s="1"/>
  <c r="J136" i="10" s="1"/>
  <c r="G126" i="37"/>
  <c r="I126" i="37" s="1"/>
  <c r="E126" i="41"/>
  <c r="D126" i="41"/>
  <c r="G125" i="41"/>
  <c r="I125" i="41" s="1"/>
  <c r="J125" i="41" s="1"/>
  <c r="F132" i="24"/>
  <c r="H132" i="24" s="1"/>
  <c r="E135" i="6"/>
  <c r="G134" i="6"/>
  <c r="I134" i="6" s="1"/>
  <c r="J134" i="6" s="1"/>
  <c r="D135" i="6"/>
  <c r="D130" i="28"/>
  <c r="B130" i="28" s="1"/>
  <c r="E136" i="5"/>
  <c r="D136" i="5"/>
  <c r="B136" i="5" s="1"/>
  <c r="H126" i="37"/>
  <c r="G135" i="5"/>
  <c r="I135" i="5" s="1"/>
  <c r="J135" i="5" s="1"/>
  <c r="F125" i="43"/>
  <c r="G125" i="43" s="1"/>
  <c r="I125" i="43" s="1"/>
  <c r="H128" i="29"/>
  <c r="D129" i="29"/>
  <c r="E129" i="29"/>
  <c r="G128" i="29"/>
  <c r="I128" i="29" s="1"/>
  <c r="J130" i="27"/>
  <c r="F128" i="49"/>
  <c r="G128" i="49" s="1"/>
  <c r="J131" i="25"/>
  <c r="J129" i="28"/>
  <c r="J125" i="39"/>
  <c r="B133" i="22"/>
  <c r="F133" i="22"/>
  <c r="E128" i="48"/>
  <c r="F128" i="48" s="1"/>
  <c r="B128" i="48"/>
  <c r="H127" i="49"/>
  <c r="I127" i="49"/>
  <c r="H138" i="7"/>
  <c r="D139" i="7"/>
  <c r="B139" i="7" s="1"/>
  <c r="G138" i="7"/>
  <c r="I138" i="7" s="1"/>
  <c r="E139" i="7"/>
  <c r="H135" i="8"/>
  <c r="G135" i="8"/>
  <c r="I135" i="8" s="1"/>
  <c r="D136" i="8"/>
  <c r="E136" i="8"/>
  <c r="H127" i="48"/>
  <c r="I127" i="48"/>
  <c r="F130" i="28"/>
  <c r="H128" i="31"/>
  <c r="G128" i="31"/>
  <c r="I128" i="31" s="1"/>
  <c r="D129" i="31"/>
  <c r="E129" i="31"/>
  <c r="G122" i="46"/>
  <c r="I122" i="46" s="1"/>
  <c r="J122" i="46" s="1"/>
  <c r="D123" i="46"/>
  <c r="E123" i="46"/>
  <c r="F134" i="4"/>
  <c r="B134" i="4"/>
  <c r="B136" i="11"/>
  <c r="F136" i="11"/>
  <c r="B124" i="44"/>
  <c r="F124" i="44"/>
  <c r="H124" i="44" s="1"/>
  <c r="H136" i="9"/>
  <c r="G136" i="9"/>
  <c r="I136" i="9" s="1"/>
  <c r="D137" i="9"/>
  <c r="E137" i="9"/>
  <c r="H127" i="30"/>
  <c r="G127" i="30"/>
  <c r="I127" i="30" s="1"/>
  <c r="D128" i="30"/>
  <c r="E128" i="30"/>
  <c r="J133" i="4"/>
  <c r="H129" i="47"/>
  <c r="I129" i="47"/>
  <c r="H131" i="23"/>
  <c r="G131" i="23"/>
  <c r="I131" i="23" s="1"/>
  <c r="D132" i="23"/>
  <c r="B132" i="23" s="1"/>
  <c r="E132" i="23"/>
  <c r="H125" i="42"/>
  <c r="D126" i="42"/>
  <c r="G125" i="42"/>
  <c r="I125" i="42" s="1"/>
  <c r="E126" i="42"/>
  <c r="H125" i="40"/>
  <c r="D126" i="40"/>
  <c r="G125" i="40"/>
  <c r="I125" i="40" s="1"/>
  <c r="E126" i="40"/>
  <c r="H131" i="27"/>
  <c r="G131" i="27"/>
  <c r="I131" i="27" s="1"/>
  <c r="D132" i="27"/>
  <c r="B132" i="27" s="1"/>
  <c r="E132" i="27"/>
  <c r="H134" i="3"/>
  <c r="D135" i="3"/>
  <c r="B135" i="3" s="1"/>
  <c r="G134" i="3"/>
  <c r="I134" i="3" s="1"/>
  <c r="E135" i="3"/>
  <c r="F126" i="39"/>
  <c r="G123" i="45"/>
  <c r="I123" i="45" s="1"/>
  <c r="J123" i="45" s="1"/>
  <c r="D124" i="45"/>
  <c r="E124" i="45"/>
  <c r="E130" i="47"/>
  <c r="F130" i="47" s="1"/>
  <c r="B130" i="47"/>
  <c r="E127" i="38" l="1"/>
  <c r="G126" i="38"/>
  <c r="I126" i="38" s="1"/>
  <c r="J126" i="38" s="1"/>
  <c r="D127" i="38"/>
  <c r="F132" i="25"/>
  <c r="G132" i="25" s="1"/>
  <c r="I132" i="25" s="1"/>
  <c r="F127" i="37"/>
  <c r="J126" i="37"/>
  <c r="E133" i="24"/>
  <c r="G132" i="24"/>
  <c r="I132" i="24" s="1"/>
  <c r="D133" i="24"/>
  <c r="D129" i="49"/>
  <c r="B129" i="49" s="1"/>
  <c r="B137" i="10"/>
  <c r="F137" i="10"/>
  <c r="H137" i="10" s="1"/>
  <c r="B126" i="41"/>
  <c r="F126" i="41"/>
  <c r="H126" i="41" s="1"/>
  <c r="F136" i="5"/>
  <c r="D137" i="5" s="1"/>
  <c r="B137" i="5" s="1"/>
  <c r="D126" i="43"/>
  <c r="B126" i="43" s="1"/>
  <c r="F135" i="6"/>
  <c r="H135" i="6" s="1"/>
  <c r="B135" i="6"/>
  <c r="H125" i="43"/>
  <c r="J125" i="43" s="1"/>
  <c r="E126" i="43"/>
  <c r="B129" i="29"/>
  <c r="F129" i="29"/>
  <c r="H129" i="29" s="1"/>
  <c r="J131" i="27"/>
  <c r="J129" i="47"/>
  <c r="J128" i="31"/>
  <c r="J127" i="48"/>
  <c r="J135" i="8"/>
  <c r="J128" i="29"/>
  <c r="J127" i="49"/>
  <c r="J134" i="3"/>
  <c r="J138" i="7"/>
  <c r="F132" i="27"/>
  <c r="H132" i="27" s="1"/>
  <c r="F139" i="7"/>
  <c r="H139" i="7" s="1"/>
  <c r="D129" i="48"/>
  <c r="G128" i="48"/>
  <c r="D131" i="47"/>
  <c r="B131" i="47" s="1"/>
  <c r="G130" i="47"/>
  <c r="E131" i="47"/>
  <c r="H127" i="37"/>
  <c r="G127" i="37"/>
  <c r="I127" i="37" s="1"/>
  <c r="D128" i="37"/>
  <c r="B128" i="37" s="1"/>
  <c r="E128" i="37"/>
  <c r="E129" i="49"/>
  <c r="F135" i="3"/>
  <c r="J125" i="40"/>
  <c r="J125" i="42"/>
  <c r="H134" i="4"/>
  <c r="G134" i="4"/>
  <c r="I134" i="4" s="1"/>
  <c r="D135" i="4"/>
  <c r="B135" i="4" s="1"/>
  <c r="E135" i="4"/>
  <c r="B124" i="45"/>
  <c r="F124" i="45"/>
  <c r="H124" i="45" s="1"/>
  <c r="F126" i="40"/>
  <c r="B126" i="40"/>
  <c r="B126" i="42"/>
  <c r="F126" i="42"/>
  <c r="H132" i="25"/>
  <c r="H136" i="11"/>
  <c r="D137" i="11"/>
  <c r="G136" i="11"/>
  <c r="I136" i="11" s="1"/>
  <c r="E137" i="11"/>
  <c r="F129" i="31"/>
  <c r="B129" i="31"/>
  <c r="H130" i="28"/>
  <c r="G130" i="28"/>
  <c r="I130" i="28" s="1"/>
  <c r="D131" i="28"/>
  <c r="E131" i="28"/>
  <c r="B136" i="8"/>
  <c r="F136" i="8"/>
  <c r="H133" i="22"/>
  <c r="G133" i="22"/>
  <c r="I133" i="22" s="1"/>
  <c r="D134" i="22"/>
  <c r="E134" i="22"/>
  <c r="F128" i="30"/>
  <c r="B128" i="30"/>
  <c r="B123" i="46"/>
  <c r="F123" i="46"/>
  <c r="H123" i="46" s="1"/>
  <c r="H126" i="39"/>
  <c r="G126" i="39"/>
  <c r="I126" i="39" s="1"/>
  <c r="D127" i="39"/>
  <c r="B127" i="39" s="1"/>
  <c r="E127" i="39"/>
  <c r="I128" i="49"/>
  <c r="H128" i="49"/>
  <c r="F132" i="23"/>
  <c r="J127" i="30"/>
  <c r="B137" i="9"/>
  <c r="F137" i="9"/>
  <c r="D125" i="44"/>
  <c r="G124" i="44"/>
  <c r="I124" i="44" s="1"/>
  <c r="J124" i="44" s="1"/>
  <c r="E125" i="44"/>
  <c r="D133" i="25" l="1"/>
  <c r="B133" i="25" s="1"/>
  <c r="E133" i="25"/>
  <c r="B127" i="38"/>
  <c r="F127" i="38"/>
  <c r="F133" i="24"/>
  <c r="H136" i="5"/>
  <c r="E140" i="7"/>
  <c r="B133" i="24"/>
  <c r="D140" i="7"/>
  <c r="B140" i="7" s="1"/>
  <c r="G139" i="7"/>
  <c r="I139" i="7" s="1"/>
  <c r="J139" i="7" s="1"/>
  <c r="F129" i="49"/>
  <c r="D130" i="49" s="1"/>
  <c r="E138" i="10"/>
  <c r="D138" i="10"/>
  <c r="G137" i="10"/>
  <c r="I137" i="10" s="1"/>
  <c r="J137" i="10" s="1"/>
  <c r="G136" i="5"/>
  <c r="I136" i="5" s="1"/>
  <c r="E137" i="5"/>
  <c r="F137" i="5" s="1"/>
  <c r="G137" i="5" s="1"/>
  <c r="I137" i="5" s="1"/>
  <c r="F126" i="43"/>
  <c r="G126" i="41"/>
  <c r="I126" i="41" s="1"/>
  <c r="J126" i="41" s="1"/>
  <c r="D127" i="41"/>
  <c r="E127" i="41"/>
  <c r="E133" i="27"/>
  <c r="D133" i="27"/>
  <c r="B133" i="27" s="1"/>
  <c r="D136" i="6"/>
  <c r="G135" i="6"/>
  <c r="I135" i="6" s="1"/>
  <c r="J135" i="6" s="1"/>
  <c r="E136" i="6"/>
  <c r="G132" i="27"/>
  <c r="I132" i="27" s="1"/>
  <c r="J132" i="27" s="1"/>
  <c r="J126" i="39"/>
  <c r="E138" i="5"/>
  <c r="E130" i="29"/>
  <c r="G129" i="29"/>
  <c r="I129" i="29" s="1"/>
  <c r="J129" i="29" s="1"/>
  <c r="D130" i="29"/>
  <c r="J132" i="25"/>
  <c r="J155" i="25" s="1"/>
  <c r="F135" i="4"/>
  <c r="H135" i="4" s="1"/>
  <c r="J127" i="37"/>
  <c r="F127" i="39"/>
  <c r="G127" i="39" s="1"/>
  <c r="I127" i="39" s="1"/>
  <c r="J130" i="28"/>
  <c r="F133" i="25"/>
  <c r="G133" i="25" s="1"/>
  <c r="I133" i="25" s="1"/>
  <c r="F134" i="22"/>
  <c r="B134" i="22"/>
  <c r="F125" i="44"/>
  <c r="B125" i="44"/>
  <c r="D124" i="46"/>
  <c r="G123" i="46"/>
  <c r="I123" i="46" s="1"/>
  <c r="J123" i="46" s="1"/>
  <c r="E124" i="46"/>
  <c r="B137" i="11"/>
  <c r="F137" i="11"/>
  <c r="H126" i="42"/>
  <c r="D127" i="42"/>
  <c r="G126" i="42"/>
  <c r="I126" i="42" s="1"/>
  <c r="E127" i="42"/>
  <c r="H128" i="48"/>
  <c r="I128" i="48"/>
  <c r="H136" i="8"/>
  <c r="G136" i="8"/>
  <c r="I136" i="8" s="1"/>
  <c r="D137" i="8"/>
  <c r="B137" i="8" s="1"/>
  <c r="E137" i="8"/>
  <c r="H135" i="3"/>
  <c r="G135" i="3"/>
  <c r="I135" i="3" s="1"/>
  <c r="D136" i="3"/>
  <c r="E136" i="3"/>
  <c r="G129" i="49"/>
  <c r="H130" i="47"/>
  <c r="I130" i="47"/>
  <c r="H128" i="30"/>
  <c r="G128" i="30"/>
  <c r="I128" i="30" s="1"/>
  <c r="D129" i="30"/>
  <c r="E129" i="30"/>
  <c r="H126" i="40"/>
  <c r="G126" i="40"/>
  <c r="I126" i="40" s="1"/>
  <c r="D127" i="40"/>
  <c r="E127" i="40"/>
  <c r="H137" i="9"/>
  <c r="G137" i="9"/>
  <c r="I137" i="9" s="1"/>
  <c r="D138" i="9"/>
  <c r="B138" i="9" s="1"/>
  <c r="E138" i="9"/>
  <c r="H132" i="23"/>
  <c r="D133" i="23"/>
  <c r="G132" i="23"/>
  <c r="I132" i="23" s="1"/>
  <c r="E133" i="23"/>
  <c r="J128" i="49"/>
  <c r="H133" i="24"/>
  <c r="G133" i="24"/>
  <c r="I133" i="24" s="1"/>
  <c r="D134" i="24"/>
  <c r="B134" i="24" s="1"/>
  <c r="E134" i="24"/>
  <c r="F131" i="28"/>
  <c r="B131" i="28"/>
  <c r="H129" i="31"/>
  <c r="G129" i="31"/>
  <c r="I129" i="31" s="1"/>
  <c r="D130" i="31"/>
  <c r="B130" i="31" s="1"/>
  <c r="E130" i="31"/>
  <c r="G124" i="45"/>
  <c r="I124" i="45" s="1"/>
  <c r="J124" i="45" s="1"/>
  <c r="D125" i="45"/>
  <c r="E125" i="45"/>
  <c r="J134" i="4"/>
  <c r="F128" i="37"/>
  <c r="F131" i="47"/>
  <c r="E129" i="48"/>
  <c r="F129" i="48" s="1"/>
  <c r="B129" i="48"/>
  <c r="E128" i="38" l="1"/>
  <c r="G127" i="38"/>
  <c r="I127" i="38" s="1"/>
  <c r="D128" i="38"/>
  <c r="H127" i="38"/>
  <c r="D128" i="39"/>
  <c r="B128" i="39" s="1"/>
  <c r="E136" i="4"/>
  <c r="D138" i="5"/>
  <c r="B138" i="5" s="1"/>
  <c r="H127" i="39"/>
  <c r="J127" i="39" s="1"/>
  <c r="E128" i="39"/>
  <c r="F128" i="39" s="1"/>
  <c r="F140" i="7"/>
  <c r="H140" i="7" s="1"/>
  <c r="J136" i="5"/>
  <c r="F133" i="27"/>
  <c r="G133" i="27" s="1"/>
  <c r="I133" i="27" s="1"/>
  <c r="F138" i="10"/>
  <c r="H138" i="10" s="1"/>
  <c r="B138" i="10"/>
  <c r="H137" i="5"/>
  <c r="J137" i="5" s="1"/>
  <c r="F127" i="41"/>
  <c r="H127" i="41" s="1"/>
  <c r="B127" i="41"/>
  <c r="H126" i="43"/>
  <c r="G126" i="43"/>
  <c r="I126" i="43" s="1"/>
  <c r="D127" i="43"/>
  <c r="E127" i="43"/>
  <c r="D136" i="4"/>
  <c r="B136" i="4" s="1"/>
  <c r="G135" i="4"/>
  <c r="I135" i="4" s="1"/>
  <c r="J135" i="4" s="1"/>
  <c r="J128" i="48"/>
  <c r="F136" i="6"/>
  <c r="B136" i="6"/>
  <c r="D134" i="25"/>
  <c r="B134" i="25" s="1"/>
  <c r="F130" i="29"/>
  <c r="H130" i="29" s="1"/>
  <c r="B130" i="29"/>
  <c r="H133" i="25"/>
  <c r="E134" i="25"/>
  <c r="F130" i="31"/>
  <c r="H130" i="31" s="1"/>
  <c r="J130" i="47"/>
  <c r="J155" i="47" s="1"/>
  <c r="F137" i="8"/>
  <c r="H137" i="8" s="1"/>
  <c r="J129" i="31"/>
  <c r="F134" i="24"/>
  <c r="G134" i="24" s="1"/>
  <c r="I134" i="24" s="1"/>
  <c r="D130" i="48"/>
  <c r="G129" i="48"/>
  <c r="B127" i="42"/>
  <c r="F127" i="42"/>
  <c r="F133" i="23"/>
  <c r="B133" i="23"/>
  <c r="H128" i="37"/>
  <c r="D129" i="37"/>
  <c r="G128" i="37"/>
  <c r="I128" i="37" s="1"/>
  <c r="E129" i="37"/>
  <c r="B125" i="45"/>
  <c r="F125" i="45"/>
  <c r="H125" i="45" s="1"/>
  <c r="B127" i="40"/>
  <c r="F127" i="40"/>
  <c r="B129" i="30"/>
  <c r="F129" i="30"/>
  <c r="F136" i="3"/>
  <c r="B136" i="3"/>
  <c r="H137" i="11"/>
  <c r="D138" i="11"/>
  <c r="B138" i="11" s="1"/>
  <c r="G137" i="11"/>
  <c r="I137" i="11" s="1"/>
  <c r="E138" i="11"/>
  <c r="B124" i="46"/>
  <c r="F124" i="46"/>
  <c r="H124" i="46" s="1"/>
  <c r="I129" i="49"/>
  <c r="H129" i="49"/>
  <c r="D132" i="47"/>
  <c r="G131" i="47"/>
  <c r="H131" i="28"/>
  <c r="D132" i="28"/>
  <c r="G131" i="28"/>
  <c r="I131" i="28" s="1"/>
  <c r="E132" i="28"/>
  <c r="D126" i="44"/>
  <c r="B126" i="44" s="1"/>
  <c r="G125" i="44"/>
  <c r="I125" i="44" s="1"/>
  <c r="E126" i="44"/>
  <c r="F138" i="9"/>
  <c r="J126" i="40"/>
  <c r="J128" i="30"/>
  <c r="E130" i="49"/>
  <c r="F130" i="49" s="1"/>
  <c r="B130" i="49"/>
  <c r="J135" i="3"/>
  <c r="J136" i="8"/>
  <c r="J126" i="42"/>
  <c r="H125" i="44"/>
  <c r="H134" i="22"/>
  <c r="D135" i="22"/>
  <c r="B135" i="22" s="1"/>
  <c r="G134" i="22"/>
  <c r="I134" i="22" s="1"/>
  <c r="E135" i="22"/>
  <c r="B128" i="38" l="1"/>
  <c r="F128" i="38"/>
  <c r="H128" i="38"/>
  <c r="J127" i="38"/>
  <c r="F138" i="5"/>
  <c r="H138" i="5" s="1"/>
  <c r="H133" i="27"/>
  <c r="J133" i="27" s="1"/>
  <c r="H128" i="39"/>
  <c r="E129" i="39"/>
  <c r="G138" i="5"/>
  <c r="I138" i="5" s="1"/>
  <c r="D141" i="7"/>
  <c r="G140" i="7"/>
  <c r="I140" i="7" s="1"/>
  <c r="J140" i="7" s="1"/>
  <c r="J126" i="43"/>
  <c r="F136" i="4"/>
  <c r="G136" i="4" s="1"/>
  <c r="I136" i="4" s="1"/>
  <c r="D134" i="27"/>
  <c r="E134" i="27"/>
  <c r="E138" i="8"/>
  <c r="D138" i="8"/>
  <c r="B138" i="8" s="1"/>
  <c r="G137" i="8"/>
  <c r="I137" i="8" s="1"/>
  <c r="J137" i="8" s="1"/>
  <c r="D135" i="24"/>
  <c r="B135" i="24" s="1"/>
  <c r="E131" i="31"/>
  <c r="G138" i="10"/>
  <c r="I138" i="10" s="1"/>
  <c r="J138" i="10" s="1"/>
  <c r="D139" i="10"/>
  <c r="E139" i="10"/>
  <c r="B127" i="43"/>
  <c r="F127" i="43"/>
  <c r="D128" i="41"/>
  <c r="E128" i="41"/>
  <c r="G127" i="41"/>
  <c r="I127" i="41" s="1"/>
  <c r="J127" i="41" s="1"/>
  <c r="D129" i="39"/>
  <c r="B129" i="39" s="1"/>
  <c r="G128" i="39"/>
  <c r="I128" i="39" s="1"/>
  <c r="F134" i="25"/>
  <c r="G134" i="25" s="1"/>
  <c r="I134" i="25" s="1"/>
  <c r="D137" i="6"/>
  <c r="G136" i="6"/>
  <c r="I136" i="6" s="1"/>
  <c r="E137" i="6"/>
  <c r="H136" i="6"/>
  <c r="H134" i="24"/>
  <c r="E135" i="24"/>
  <c r="E131" i="29"/>
  <c r="G130" i="29"/>
  <c r="I130" i="29" s="1"/>
  <c r="J130" i="29" s="1"/>
  <c r="D131" i="29"/>
  <c r="D131" i="31"/>
  <c r="B131" i="31" s="1"/>
  <c r="G130" i="31"/>
  <c r="I130" i="31" s="1"/>
  <c r="J130" i="31" s="1"/>
  <c r="F126" i="44"/>
  <c r="D127" i="44" s="1"/>
  <c r="G130" i="49"/>
  <c r="D131" i="49"/>
  <c r="H127" i="40"/>
  <c r="G127" i="40"/>
  <c r="I127" i="40" s="1"/>
  <c r="D128" i="40"/>
  <c r="E128" i="40"/>
  <c r="H136" i="3"/>
  <c r="G136" i="3"/>
  <c r="I136" i="3" s="1"/>
  <c r="D137" i="3"/>
  <c r="B137" i="3" s="1"/>
  <c r="E137" i="3"/>
  <c r="F135" i="22"/>
  <c r="J125" i="44"/>
  <c r="I131" i="47"/>
  <c r="H131" i="47"/>
  <c r="H129" i="30"/>
  <c r="G129" i="30"/>
  <c r="I129" i="30" s="1"/>
  <c r="D130" i="30"/>
  <c r="B130" i="30" s="1"/>
  <c r="E130" i="30"/>
  <c r="J128" i="37"/>
  <c r="H133" i="23"/>
  <c r="D134" i="23"/>
  <c r="G133" i="23"/>
  <c r="I133" i="23" s="1"/>
  <c r="E134" i="23"/>
  <c r="H129" i="48"/>
  <c r="I129" i="48"/>
  <c r="H138" i="9"/>
  <c r="G138" i="9"/>
  <c r="I138" i="9" s="1"/>
  <c r="D139" i="9"/>
  <c r="B139" i="9" s="1"/>
  <c r="E139" i="9"/>
  <c r="B132" i="28"/>
  <c r="F132" i="28"/>
  <c r="D128" i="42"/>
  <c r="B128" i="42" s="1"/>
  <c r="G127" i="42"/>
  <c r="I127" i="42" s="1"/>
  <c r="E128" i="42"/>
  <c r="H126" i="44"/>
  <c r="J129" i="49"/>
  <c r="G124" i="46"/>
  <c r="I124" i="46" s="1"/>
  <c r="J124" i="46" s="1"/>
  <c r="D125" i="46"/>
  <c r="E125" i="46"/>
  <c r="J131" i="28"/>
  <c r="E132" i="47"/>
  <c r="F132" i="47" s="1"/>
  <c r="B132" i="47"/>
  <c r="F138" i="11"/>
  <c r="G125" i="45"/>
  <c r="I125" i="45" s="1"/>
  <c r="J125" i="45" s="1"/>
  <c r="D126" i="45"/>
  <c r="E126" i="45"/>
  <c r="B129" i="37"/>
  <c r="F129" i="37"/>
  <c r="F129" i="39"/>
  <c r="H127" i="42"/>
  <c r="E130" i="48"/>
  <c r="F130" i="48" s="1"/>
  <c r="B130" i="48"/>
  <c r="D129" i="38" l="1"/>
  <c r="E129" i="38"/>
  <c r="G128" i="38"/>
  <c r="I128" i="38" s="1"/>
  <c r="J128" i="38" s="1"/>
  <c r="J138" i="5"/>
  <c r="J128" i="39"/>
  <c r="E139" i="5"/>
  <c r="D139" i="5"/>
  <c r="D135" i="25"/>
  <c r="B135" i="25" s="1"/>
  <c r="B141" i="7"/>
  <c r="E141" i="7"/>
  <c r="F141" i="7" s="1"/>
  <c r="H136" i="4"/>
  <c r="J136" i="4" s="1"/>
  <c r="D137" i="4"/>
  <c r="E137" i="4"/>
  <c r="F134" i="27"/>
  <c r="H134" i="27" s="1"/>
  <c r="B134" i="27"/>
  <c r="F138" i="8"/>
  <c r="H138" i="8" s="1"/>
  <c r="F135" i="24"/>
  <c r="H135" i="24" s="1"/>
  <c r="B139" i="10"/>
  <c r="F139" i="10"/>
  <c r="E127" i="44"/>
  <c r="F127" i="44" s="1"/>
  <c r="H127" i="44" s="1"/>
  <c r="G126" i="44"/>
  <c r="I126" i="44" s="1"/>
  <c r="J126" i="44" s="1"/>
  <c r="B128" i="41"/>
  <c r="F128" i="41"/>
  <c r="G127" i="43"/>
  <c r="I127" i="43" s="1"/>
  <c r="E128" i="43"/>
  <c r="H127" i="43"/>
  <c r="D128" i="43"/>
  <c r="J129" i="48"/>
  <c r="H134" i="25"/>
  <c r="E135" i="25"/>
  <c r="F135" i="25" s="1"/>
  <c r="J136" i="6"/>
  <c r="F131" i="31"/>
  <c r="B137" i="6"/>
  <c r="F137" i="6"/>
  <c r="H137" i="6" s="1"/>
  <c r="B131" i="29"/>
  <c r="F131" i="29"/>
  <c r="H131" i="29" s="1"/>
  <c r="J136" i="3"/>
  <c r="F137" i="3"/>
  <c r="E138" i="3" s="1"/>
  <c r="F139" i="9"/>
  <c r="E140" i="9" s="1"/>
  <c r="J127" i="40"/>
  <c r="J129" i="30"/>
  <c r="H129" i="39"/>
  <c r="G129" i="39"/>
  <c r="I129" i="39" s="1"/>
  <c r="D130" i="39"/>
  <c r="B130" i="39" s="1"/>
  <c r="E130" i="39"/>
  <c r="H138" i="11"/>
  <c r="G138" i="11"/>
  <c r="I138" i="11" s="1"/>
  <c r="D139" i="11"/>
  <c r="B139" i="11" s="1"/>
  <c r="E139" i="11"/>
  <c r="B127" i="44"/>
  <c r="D133" i="47"/>
  <c r="G132" i="47"/>
  <c r="B134" i="23"/>
  <c r="F134" i="23"/>
  <c r="H135" i="22"/>
  <c r="G135" i="22"/>
  <c r="I135" i="22" s="1"/>
  <c r="D136" i="22"/>
  <c r="E136" i="22"/>
  <c r="H129" i="37"/>
  <c r="G129" i="37"/>
  <c r="I129" i="37" s="1"/>
  <c r="D130" i="37"/>
  <c r="B130" i="37" s="1"/>
  <c r="E130" i="37"/>
  <c r="F128" i="42"/>
  <c r="F130" i="30"/>
  <c r="E131" i="49"/>
  <c r="F131" i="49" s="1"/>
  <c r="B131" i="49"/>
  <c r="D131" i="48"/>
  <c r="G130" i="48"/>
  <c r="B126" i="45"/>
  <c r="F126" i="45"/>
  <c r="F125" i="46"/>
  <c r="B125" i="46"/>
  <c r="J127" i="42"/>
  <c r="H132" i="28"/>
  <c r="D133" i="28"/>
  <c r="G132" i="28"/>
  <c r="I132" i="28" s="1"/>
  <c r="E133" i="28"/>
  <c r="B128" i="40"/>
  <c r="F128" i="40"/>
  <c r="I130" i="49"/>
  <c r="H130" i="49"/>
  <c r="E136" i="24" l="1"/>
  <c r="B129" i="38"/>
  <c r="F129" i="38"/>
  <c r="H129" i="38" s="1"/>
  <c r="B139" i="5"/>
  <c r="F139" i="5"/>
  <c r="H141" i="7"/>
  <c r="G141" i="7"/>
  <c r="I141" i="7" s="1"/>
  <c r="D142" i="7"/>
  <c r="G138" i="8"/>
  <c r="I138" i="8" s="1"/>
  <c r="J138" i="8" s="1"/>
  <c r="G135" i="24"/>
  <c r="I135" i="24" s="1"/>
  <c r="D136" i="24"/>
  <c r="B136" i="24" s="1"/>
  <c r="D138" i="3"/>
  <c r="B138" i="3" s="1"/>
  <c r="D140" i="9"/>
  <c r="B140" i="9" s="1"/>
  <c r="E139" i="8"/>
  <c r="D139" i="8"/>
  <c r="B139" i="8" s="1"/>
  <c r="B137" i="4"/>
  <c r="F137" i="4"/>
  <c r="G139" i="9"/>
  <c r="I139" i="9" s="1"/>
  <c r="G137" i="3"/>
  <c r="I137" i="3" s="1"/>
  <c r="H137" i="3"/>
  <c r="H139" i="9"/>
  <c r="E135" i="27"/>
  <c r="G134" i="27"/>
  <c r="I134" i="27" s="1"/>
  <c r="J134" i="27" s="1"/>
  <c r="D135" i="27"/>
  <c r="D140" i="10"/>
  <c r="G139" i="10"/>
  <c r="I139" i="10" s="1"/>
  <c r="E140" i="10"/>
  <c r="H139" i="10"/>
  <c r="J127" i="43"/>
  <c r="B128" i="43"/>
  <c r="F128" i="43"/>
  <c r="H128" i="41"/>
  <c r="G128" i="41"/>
  <c r="I128" i="41" s="1"/>
  <c r="D129" i="41"/>
  <c r="E129" i="41"/>
  <c r="G135" i="25"/>
  <c r="I135" i="25" s="1"/>
  <c r="E136" i="25"/>
  <c r="H135" i="25"/>
  <c r="D136" i="25"/>
  <c r="D138" i="6"/>
  <c r="E138" i="6"/>
  <c r="G137" i="6"/>
  <c r="I137" i="6" s="1"/>
  <c r="J137" i="6" s="1"/>
  <c r="H131" i="31"/>
  <c r="G131" i="31"/>
  <c r="I131" i="31" s="1"/>
  <c r="D132" i="31"/>
  <c r="E132" i="31"/>
  <c r="D132" i="29"/>
  <c r="G131" i="29"/>
  <c r="I131" i="29" s="1"/>
  <c r="J131" i="29" s="1"/>
  <c r="E132" i="29"/>
  <c r="J130" i="49"/>
  <c r="J155" i="49" s="1"/>
  <c r="J129" i="39"/>
  <c r="F136" i="24"/>
  <c r="G136" i="24" s="1"/>
  <c r="I136" i="24" s="1"/>
  <c r="F139" i="11"/>
  <c r="G139" i="11" s="1"/>
  <c r="I139" i="11" s="1"/>
  <c r="F130" i="39"/>
  <c r="G130" i="39" s="1"/>
  <c r="I130" i="39" s="1"/>
  <c r="H125" i="46"/>
  <c r="D126" i="46"/>
  <c r="G125" i="46"/>
  <c r="I125" i="46" s="1"/>
  <c r="E126" i="46"/>
  <c r="E131" i="48"/>
  <c r="F131" i="48" s="1"/>
  <c r="B131" i="48"/>
  <c r="E133" i="47"/>
  <c r="F133" i="47" s="1"/>
  <c r="B133" i="47"/>
  <c r="H126" i="45"/>
  <c r="D127" i="45"/>
  <c r="G126" i="45"/>
  <c r="I126" i="45" s="1"/>
  <c r="E127" i="45"/>
  <c r="G131" i="49"/>
  <c r="D132" i="49"/>
  <c r="F138" i="3"/>
  <c r="F130" i="37"/>
  <c r="H134" i="23"/>
  <c r="G134" i="23"/>
  <c r="I134" i="23" s="1"/>
  <c r="D135" i="23"/>
  <c r="B135" i="23" s="1"/>
  <c r="E135" i="23"/>
  <c r="B136" i="22"/>
  <c r="F136" i="22"/>
  <c r="G127" i="44"/>
  <c r="I127" i="44" s="1"/>
  <c r="J127" i="44" s="1"/>
  <c r="D128" i="44"/>
  <c r="E128" i="44"/>
  <c r="H128" i="40"/>
  <c r="D129" i="40"/>
  <c r="B129" i="40" s="1"/>
  <c r="G128" i="40"/>
  <c r="I128" i="40" s="1"/>
  <c r="E129" i="40"/>
  <c r="J132" i="28"/>
  <c r="F133" i="28"/>
  <c r="B133" i="28"/>
  <c r="I130" i="48"/>
  <c r="H130" i="48"/>
  <c r="H130" i="30"/>
  <c r="D131" i="30"/>
  <c r="G130" i="30"/>
  <c r="I130" i="30" s="1"/>
  <c r="E131" i="30"/>
  <c r="H128" i="42"/>
  <c r="D129" i="42"/>
  <c r="G128" i="42"/>
  <c r="I128" i="42" s="1"/>
  <c r="E129" i="42"/>
  <c r="J129" i="37"/>
  <c r="I132" i="47"/>
  <c r="H132" i="47"/>
  <c r="E130" i="38" l="1"/>
  <c r="D130" i="38"/>
  <c r="G129" i="38"/>
  <c r="I129" i="38" s="1"/>
  <c r="J129" i="38" s="1"/>
  <c r="G139" i="5"/>
  <c r="I139" i="5" s="1"/>
  <c r="D140" i="5"/>
  <c r="H139" i="5"/>
  <c r="J141" i="7"/>
  <c r="J137" i="3"/>
  <c r="B142" i="7"/>
  <c r="E142" i="7"/>
  <c r="F142" i="7" s="1"/>
  <c r="F140" i="9"/>
  <c r="H140" i="9" s="1"/>
  <c r="H136" i="24"/>
  <c r="H130" i="39"/>
  <c r="J130" i="39" s="1"/>
  <c r="J155" i="39" s="1"/>
  <c r="F139" i="8"/>
  <c r="H139" i="8" s="1"/>
  <c r="H137" i="4"/>
  <c r="G137" i="4"/>
  <c r="I137" i="4" s="1"/>
  <c r="D138" i="4"/>
  <c r="E138" i="4"/>
  <c r="H139" i="11"/>
  <c r="E137" i="24"/>
  <c r="E131" i="39"/>
  <c r="B135" i="27"/>
  <c r="F135" i="27"/>
  <c r="D137" i="24"/>
  <c r="B137" i="24" s="1"/>
  <c r="D131" i="39"/>
  <c r="B131" i="39" s="1"/>
  <c r="G139" i="8"/>
  <c r="I139" i="8" s="1"/>
  <c r="E140" i="11"/>
  <c r="D140" i="11"/>
  <c r="J139" i="10"/>
  <c r="B140" i="10"/>
  <c r="F140" i="10"/>
  <c r="H140" i="10" s="1"/>
  <c r="J128" i="41"/>
  <c r="H128" i="43"/>
  <c r="D129" i="43"/>
  <c r="G128" i="43"/>
  <c r="I128" i="43" s="1"/>
  <c r="E129" i="43"/>
  <c r="B129" i="41"/>
  <c r="F129" i="41"/>
  <c r="H129" i="41" s="1"/>
  <c r="B136" i="25"/>
  <c r="F136" i="25"/>
  <c r="H136" i="25" s="1"/>
  <c r="B132" i="31"/>
  <c r="F132" i="31"/>
  <c r="J131" i="31"/>
  <c r="B138" i="6"/>
  <c r="F138" i="6"/>
  <c r="B132" i="29"/>
  <c r="F132" i="29"/>
  <c r="H132" i="29" s="1"/>
  <c r="J139" i="8"/>
  <c r="J128" i="40"/>
  <c r="J125" i="46"/>
  <c r="J130" i="48"/>
  <c r="J155" i="48" s="1"/>
  <c r="F135" i="23"/>
  <c r="G135" i="23" s="1"/>
  <c r="I135" i="23" s="1"/>
  <c r="G133" i="47"/>
  <c r="D134" i="47"/>
  <c r="H130" i="37"/>
  <c r="D131" i="37"/>
  <c r="B131" i="37" s="1"/>
  <c r="G130" i="37"/>
  <c r="I130" i="37" s="1"/>
  <c r="E131" i="37"/>
  <c r="H131" i="49"/>
  <c r="I131" i="49"/>
  <c r="D141" i="9"/>
  <c r="B141" i="9" s="1"/>
  <c r="J128" i="42"/>
  <c r="J130" i="30"/>
  <c r="H133" i="28"/>
  <c r="G133" i="28"/>
  <c r="I133" i="28" s="1"/>
  <c r="D134" i="28"/>
  <c r="E134" i="28"/>
  <c r="F129" i="40"/>
  <c r="H136" i="22"/>
  <c r="G136" i="22"/>
  <c r="I136" i="22" s="1"/>
  <c r="D137" i="22"/>
  <c r="B137" i="22" s="1"/>
  <c r="E137" i="22"/>
  <c r="H138" i="3"/>
  <c r="G138" i="3"/>
  <c r="I138" i="3" s="1"/>
  <c r="D139" i="3"/>
  <c r="B139" i="3" s="1"/>
  <c r="E139" i="3"/>
  <c r="J126" i="45"/>
  <c r="D132" i="48"/>
  <c r="G131" i="48"/>
  <c r="B126" i="46"/>
  <c r="F126" i="46"/>
  <c r="H126" i="46" s="1"/>
  <c r="B129" i="42"/>
  <c r="F129" i="42"/>
  <c r="B131" i="30"/>
  <c r="F131" i="30"/>
  <c r="B128" i="44"/>
  <c r="F128" i="44"/>
  <c r="E132" i="49"/>
  <c r="F132" i="49" s="1"/>
  <c r="B132" i="49"/>
  <c r="F127" i="45"/>
  <c r="H127" i="45" s="1"/>
  <c r="B127" i="45"/>
  <c r="B130" i="38" l="1"/>
  <c r="F130" i="38"/>
  <c r="G140" i="9"/>
  <c r="I140" i="9" s="1"/>
  <c r="B140" i="5"/>
  <c r="E140" i="5"/>
  <c r="F140" i="5" s="1"/>
  <c r="J139" i="5"/>
  <c r="F137" i="24"/>
  <c r="D138" i="24" s="1"/>
  <c r="B138" i="24" s="1"/>
  <c r="H142" i="7"/>
  <c r="G142" i="7"/>
  <c r="I142" i="7" s="1"/>
  <c r="D143" i="7"/>
  <c r="D140" i="8"/>
  <c r="F131" i="39"/>
  <c r="G131" i="39" s="1"/>
  <c r="I131" i="39" s="1"/>
  <c r="B138" i="4"/>
  <c r="F138" i="4"/>
  <c r="J137" i="4"/>
  <c r="F140" i="11"/>
  <c r="H140" i="11" s="1"/>
  <c r="H135" i="27"/>
  <c r="G135" i="27"/>
  <c r="I135" i="27" s="1"/>
  <c r="E136" i="27"/>
  <c r="D136" i="27"/>
  <c r="B140" i="11"/>
  <c r="H135" i="23"/>
  <c r="E136" i="23"/>
  <c r="J128" i="43"/>
  <c r="D136" i="23"/>
  <c r="G140" i="10"/>
  <c r="I140" i="10" s="1"/>
  <c r="J140" i="10" s="1"/>
  <c r="D141" i="10"/>
  <c r="E141" i="10" s="1"/>
  <c r="F141" i="10" s="1"/>
  <c r="D130" i="41"/>
  <c r="G129" i="41"/>
  <c r="I129" i="41" s="1"/>
  <c r="J129" i="41" s="1"/>
  <c r="E130" i="41"/>
  <c r="F129" i="43"/>
  <c r="B129" i="43"/>
  <c r="G136" i="25"/>
  <c r="I136" i="25" s="1"/>
  <c r="E137" i="25"/>
  <c r="D137" i="25"/>
  <c r="D133" i="31"/>
  <c r="E133" i="31"/>
  <c r="H132" i="31"/>
  <c r="G132" i="31"/>
  <c r="I132" i="31" s="1"/>
  <c r="H138" i="6"/>
  <c r="E139" i="6"/>
  <c r="D139" i="6"/>
  <c r="G138" i="6"/>
  <c r="I138" i="6" s="1"/>
  <c r="E133" i="29"/>
  <c r="G132" i="29"/>
  <c r="I132" i="29" s="1"/>
  <c r="J132" i="29" s="1"/>
  <c r="D133" i="29"/>
  <c r="J138" i="3"/>
  <c r="F139" i="3"/>
  <c r="G139" i="3" s="1"/>
  <c r="I139" i="3" s="1"/>
  <c r="J133" i="28"/>
  <c r="G128" i="44"/>
  <c r="I128" i="44" s="1"/>
  <c r="D129" i="44"/>
  <c r="E129" i="44"/>
  <c r="H131" i="30"/>
  <c r="G131" i="30"/>
  <c r="I131" i="30" s="1"/>
  <c r="D132" i="30"/>
  <c r="E132" i="30"/>
  <c r="H131" i="48"/>
  <c r="I131" i="48"/>
  <c r="F137" i="22"/>
  <c r="H129" i="40"/>
  <c r="D130" i="40"/>
  <c r="B130" i="40" s="1"/>
  <c r="G129" i="40"/>
  <c r="I129" i="40" s="1"/>
  <c r="E130" i="40"/>
  <c r="B134" i="28"/>
  <c r="F134" i="28"/>
  <c r="F131" i="37"/>
  <c r="G129" i="42"/>
  <c r="I129" i="42" s="1"/>
  <c r="D130" i="42"/>
  <c r="E130" i="42"/>
  <c r="G137" i="24"/>
  <c r="I137" i="24" s="1"/>
  <c r="D133" i="49"/>
  <c r="G132" i="49"/>
  <c r="E132" i="48"/>
  <c r="F132" i="48" s="1"/>
  <c r="B132" i="48"/>
  <c r="J130" i="37"/>
  <c r="J155" i="37" s="1"/>
  <c r="E134" i="47"/>
  <c r="F134" i="47" s="1"/>
  <c r="B134" i="47"/>
  <c r="E128" i="45"/>
  <c r="D128" i="45"/>
  <c r="G127" i="45"/>
  <c r="I127" i="45" s="1"/>
  <c r="J127" i="45" s="1"/>
  <c r="H128" i="44"/>
  <c r="H129" i="42"/>
  <c r="D127" i="46"/>
  <c r="G126" i="46"/>
  <c r="I126" i="46" s="1"/>
  <c r="J126" i="46" s="1"/>
  <c r="E127" i="46"/>
  <c r="H131" i="39"/>
  <c r="D132" i="39"/>
  <c r="B132" i="39" s="1"/>
  <c r="E141" i="9"/>
  <c r="F141" i="9" s="1"/>
  <c r="H133" i="47"/>
  <c r="I133" i="47"/>
  <c r="E132" i="39" l="1"/>
  <c r="D141" i="11"/>
  <c r="B141" i="11" s="1"/>
  <c r="H130" i="38"/>
  <c r="E131" i="38"/>
  <c r="G130" i="38"/>
  <c r="I130" i="38" s="1"/>
  <c r="D131" i="38"/>
  <c r="G140" i="11"/>
  <c r="I140" i="11" s="1"/>
  <c r="H137" i="24"/>
  <c r="F136" i="23"/>
  <c r="E138" i="24"/>
  <c r="J142" i="7"/>
  <c r="G140" i="5"/>
  <c r="I140" i="5" s="1"/>
  <c r="H140" i="5"/>
  <c r="D141" i="5"/>
  <c r="B143" i="7"/>
  <c r="E143" i="7"/>
  <c r="F143" i="7" s="1"/>
  <c r="B140" i="8"/>
  <c r="E140" i="8"/>
  <c r="F140" i="8" s="1"/>
  <c r="J135" i="27"/>
  <c r="H138" i="4"/>
  <c r="D139" i="4"/>
  <c r="G138" i="4"/>
  <c r="I138" i="4" s="1"/>
  <c r="E139" i="4"/>
  <c r="B136" i="23"/>
  <c r="B136" i="27"/>
  <c r="F136" i="27"/>
  <c r="B141" i="10"/>
  <c r="H141" i="10"/>
  <c r="D142" i="10"/>
  <c r="G141" i="10"/>
  <c r="I141" i="10" s="1"/>
  <c r="G129" i="43"/>
  <c r="I129" i="43" s="1"/>
  <c r="D130" i="43"/>
  <c r="E130" i="43"/>
  <c r="H129" i="43"/>
  <c r="F130" i="41"/>
  <c r="B130" i="41"/>
  <c r="D140" i="3"/>
  <c r="E140" i="3" s="1"/>
  <c r="F137" i="25"/>
  <c r="B137" i="25"/>
  <c r="H139" i="3"/>
  <c r="J139" i="3" s="1"/>
  <c r="J129" i="42"/>
  <c r="B139" i="6"/>
  <c r="F139" i="6"/>
  <c r="B133" i="31"/>
  <c r="F133" i="31"/>
  <c r="H133" i="31" s="1"/>
  <c r="J138" i="6"/>
  <c r="J132" i="31"/>
  <c r="B133" i="29"/>
  <c r="F133" i="29"/>
  <c r="H133" i="29" s="1"/>
  <c r="J129" i="40"/>
  <c r="J131" i="30"/>
  <c r="E141" i="11"/>
  <c r="F141" i="11" s="1"/>
  <c r="G141" i="11" s="1"/>
  <c r="I141" i="11" s="1"/>
  <c r="D135" i="47"/>
  <c r="G134" i="47"/>
  <c r="F130" i="42"/>
  <c r="H130" i="42" s="1"/>
  <c r="B130" i="42"/>
  <c r="F132" i="39"/>
  <c r="H136" i="23"/>
  <c r="G136" i="23"/>
  <c r="I136" i="23" s="1"/>
  <c r="D137" i="23"/>
  <c r="E137" i="23"/>
  <c r="D133" i="48"/>
  <c r="G132" i="48"/>
  <c r="I132" i="49"/>
  <c r="H132" i="49"/>
  <c r="H134" i="28"/>
  <c r="G134" i="28"/>
  <c r="I134" i="28" s="1"/>
  <c r="D135" i="28"/>
  <c r="E135" i="28"/>
  <c r="H141" i="9"/>
  <c r="G141" i="9"/>
  <c r="I141" i="9" s="1"/>
  <c r="D142" i="9"/>
  <c r="B142" i="9" s="1"/>
  <c r="B128" i="45"/>
  <c r="F128" i="45"/>
  <c r="E133" i="49"/>
  <c r="F133" i="49" s="1"/>
  <c r="B133" i="49"/>
  <c r="H131" i="37"/>
  <c r="G131" i="37"/>
  <c r="I131" i="37" s="1"/>
  <c r="D132" i="37"/>
  <c r="B132" i="37" s="1"/>
  <c r="E132" i="37"/>
  <c r="F129" i="44"/>
  <c r="B129" i="44"/>
  <c r="B127" i="46"/>
  <c r="F127" i="46"/>
  <c r="F138" i="24"/>
  <c r="F130" i="40"/>
  <c r="H137" i="22"/>
  <c r="G137" i="22"/>
  <c r="I137" i="22" s="1"/>
  <c r="D138" i="22"/>
  <c r="B138" i="22" s="1"/>
  <c r="E138" i="22"/>
  <c r="F132" i="30"/>
  <c r="B132" i="30"/>
  <c r="J128" i="44"/>
  <c r="B131" i="38" l="1"/>
  <c r="F131" i="38"/>
  <c r="H131" i="38"/>
  <c r="J130" i="38"/>
  <c r="J155" i="38" s="1"/>
  <c r="J140" i="5"/>
  <c r="B141" i="5"/>
  <c r="E141" i="5"/>
  <c r="F141" i="5" s="1"/>
  <c r="H141" i="5" s="1"/>
  <c r="G143" i="7"/>
  <c r="I143" i="7" s="1"/>
  <c r="D144" i="7"/>
  <c r="H143" i="7"/>
  <c r="H141" i="11"/>
  <c r="J138" i="4"/>
  <c r="H140" i="8"/>
  <c r="G140" i="8"/>
  <c r="I140" i="8" s="1"/>
  <c r="D141" i="8"/>
  <c r="B139" i="4"/>
  <c r="F139" i="4"/>
  <c r="E137" i="27"/>
  <c r="D137" i="27"/>
  <c r="G136" i="27"/>
  <c r="I136" i="27" s="1"/>
  <c r="H136" i="27"/>
  <c r="B140" i="3"/>
  <c r="J141" i="10"/>
  <c r="B142" i="10"/>
  <c r="F140" i="3"/>
  <c r="H140" i="3" s="1"/>
  <c r="E142" i="10"/>
  <c r="F142" i="10" s="1"/>
  <c r="H142" i="10" s="1"/>
  <c r="B130" i="43"/>
  <c r="F130" i="43"/>
  <c r="H130" i="41"/>
  <c r="G130" i="41"/>
  <c r="I130" i="41" s="1"/>
  <c r="D131" i="41"/>
  <c r="E131" i="41"/>
  <c r="J129" i="43"/>
  <c r="D142" i="11"/>
  <c r="E142" i="11" s="1"/>
  <c r="H137" i="25"/>
  <c r="D138" i="25"/>
  <c r="E138" i="25"/>
  <c r="G137" i="25"/>
  <c r="I137" i="25" s="1"/>
  <c r="H139" i="6"/>
  <c r="E140" i="6"/>
  <c r="D140" i="6"/>
  <c r="G139" i="6"/>
  <c r="I139" i="6" s="1"/>
  <c r="G133" i="31"/>
  <c r="I133" i="31" s="1"/>
  <c r="J133" i="31" s="1"/>
  <c r="D134" i="31"/>
  <c r="E134" i="31"/>
  <c r="D134" i="29"/>
  <c r="E134" i="29"/>
  <c r="G133" i="29"/>
  <c r="I133" i="29" s="1"/>
  <c r="J133" i="29" s="1"/>
  <c r="F138" i="22"/>
  <c r="G138" i="22" s="1"/>
  <c r="I138" i="22" s="1"/>
  <c r="E142" i="9"/>
  <c r="F142" i="9" s="1"/>
  <c r="G142" i="9" s="1"/>
  <c r="I142" i="9" s="1"/>
  <c r="F132" i="37"/>
  <c r="H132" i="37" s="1"/>
  <c r="G133" i="49"/>
  <c r="D134" i="49"/>
  <c r="D129" i="45"/>
  <c r="B129" i="45" s="1"/>
  <c r="G128" i="45"/>
  <c r="I128" i="45" s="1"/>
  <c r="E129" i="45"/>
  <c r="H132" i="30"/>
  <c r="D133" i="30"/>
  <c r="B133" i="30" s="1"/>
  <c r="G132" i="30"/>
  <c r="I132" i="30" s="1"/>
  <c r="E133" i="30"/>
  <c r="B135" i="28"/>
  <c r="F135" i="28"/>
  <c r="G130" i="42"/>
  <c r="I130" i="42" s="1"/>
  <c r="J130" i="42" s="1"/>
  <c r="J155" i="42" s="1"/>
  <c r="D131" i="42"/>
  <c r="E131" i="42"/>
  <c r="D141" i="3"/>
  <c r="B141" i="3" s="1"/>
  <c r="H130" i="40"/>
  <c r="G130" i="40"/>
  <c r="I130" i="40" s="1"/>
  <c r="D131" i="40"/>
  <c r="B131" i="40" s="1"/>
  <c r="E131" i="40"/>
  <c r="J134" i="28"/>
  <c r="H132" i="48"/>
  <c r="I132" i="48"/>
  <c r="F137" i="23"/>
  <c r="B137" i="23"/>
  <c r="H132" i="39"/>
  <c r="G132" i="39"/>
  <c r="I132" i="39" s="1"/>
  <c r="D133" i="39"/>
  <c r="E133" i="39"/>
  <c r="I134" i="47"/>
  <c r="H134" i="47"/>
  <c r="H127" i="46"/>
  <c r="D128" i="46"/>
  <c r="G127" i="46"/>
  <c r="I127" i="46" s="1"/>
  <c r="E128" i="46"/>
  <c r="H138" i="24"/>
  <c r="D139" i="24"/>
  <c r="B139" i="24" s="1"/>
  <c r="G138" i="24"/>
  <c r="I138" i="24" s="1"/>
  <c r="E139" i="24"/>
  <c r="H129" i="44"/>
  <c r="G129" i="44"/>
  <c r="I129" i="44" s="1"/>
  <c r="D130" i="44"/>
  <c r="E130" i="44"/>
  <c r="H128" i="45"/>
  <c r="E133" i="48"/>
  <c r="F133" i="48" s="1"/>
  <c r="B133" i="48"/>
  <c r="F142" i="11"/>
  <c r="E135" i="47"/>
  <c r="F135" i="47" s="1"/>
  <c r="B135" i="47"/>
  <c r="G131" i="38" l="1"/>
  <c r="I131" i="38" s="1"/>
  <c r="E132" i="38"/>
  <c r="D132" i="38"/>
  <c r="D142" i="5"/>
  <c r="E142" i="5" s="1"/>
  <c r="F142" i="5" s="1"/>
  <c r="G141" i="5"/>
  <c r="I141" i="5" s="1"/>
  <c r="J141" i="5" s="1"/>
  <c r="J140" i="8"/>
  <c r="B142" i="11"/>
  <c r="D143" i="9"/>
  <c r="B143" i="9" s="1"/>
  <c r="B144" i="7"/>
  <c r="E144" i="7"/>
  <c r="F144" i="7" s="1"/>
  <c r="J143" i="7"/>
  <c r="B141" i="8"/>
  <c r="E141" i="8"/>
  <c r="F141" i="8" s="1"/>
  <c r="D139" i="22"/>
  <c r="B139" i="22" s="1"/>
  <c r="J139" i="6"/>
  <c r="G139" i="4"/>
  <c r="I139" i="4" s="1"/>
  <c r="D140" i="4"/>
  <c r="H139" i="4"/>
  <c r="G140" i="3"/>
  <c r="I140" i="3" s="1"/>
  <c r="J140" i="3" s="1"/>
  <c r="J136" i="27"/>
  <c r="B137" i="27"/>
  <c r="F137" i="27"/>
  <c r="E133" i="37"/>
  <c r="H138" i="22"/>
  <c r="G132" i="37"/>
  <c r="I132" i="37" s="1"/>
  <c r="E139" i="22"/>
  <c r="D133" i="37"/>
  <c r="B133" i="37" s="1"/>
  <c r="J130" i="41"/>
  <c r="J155" i="41" s="1"/>
  <c r="D143" i="10"/>
  <c r="G142" i="10"/>
  <c r="I142" i="10" s="1"/>
  <c r="J142" i="10" s="1"/>
  <c r="D131" i="43"/>
  <c r="E131" i="43"/>
  <c r="H130" i="43"/>
  <c r="G130" i="43"/>
  <c r="I130" i="43" s="1"/>
  <c r="B131" i="41"/>
  <c r="F131" i="41"/>
  <c r="F138" i="25"/>
  <c r="B138" i="25"/>
  <c r="B134" i="31"/>
  <c r="F134" i="31"/>
  <c r="H142" i="9"/>
  <c r="B140" i="6"/>
  <c r="F140" i="6"/>
  <c r="B134" i="29"/>
  <c r="F134" i="29"/>
  <c r="H134" i="29" s="1"/>
  <c r="J129" i="44"/>
  <c r="J127" i="46"/>
  <c r="J130" i="40"/>
  <c r="J155" i="40" s="1"/>
  <c r="J132" i="30"/>
  <c r="J128" i="45"/>
  <c r="F131" i="40"/>
  <c r="E132" i="40" s="1"/>
  <c r="E141" i="3"/>
  <c r="F141" i="3" s="1"/>
  <c r="D142" i="3" s="1"/>
  <c r="B142" i="3" s="1"/>
  <c r="G133" i="48"/>
  <c r="D134" i="48"/>
  <c r="F128" i="46"/>
  <c r="B128" i="46"/>
  <c r="H135" i="28"/>
  <c r="G135" i="28"/>
  <c r="I135" i="28" s="1"/>
  <c r="D136" i="28"/>
  <c r="E136" i="28"/>
  <c r="F139" i="24"/>
  <c r="E134" i="49"/>
  <c r="F134" i="49" s="1"/>
  <c r="B134" i="49"/>
  <c r="D136" i="47"/>
  <c r="B136" i="47" s="1"/>
  <c r="G135" i="47"/>
  <c r="E136" i="47"/>
  <c r="H142" i="11"/>
  <c r="G142" i="11"/>
  <c r="I142" i="11" s="1"/>
  <c r="D143" i="11"/>
  <c r="B143" i="11" s="1"/>
  <c r="F130" i="44"/>
  <c r="H130" i="44" s="1"/>
  <c r="B130" i="44"/>
  <c r="B133" i="39"/>
  <c r="F133" i="39"/>
  <c r="H137" i="23"/>
  <c r="G137" i="23"/>
  <c r="I137" i="23" s="1"/>
  <c r="D138" i="23"/>
  <c r="B138" i="23" s="1"/>
  <c r="E138" i="23"/>
  <c r="F131" i="42"/>
  <c r="B131" i="42"/>
  <c r="F133" i="30"/>
  <c r="E143" i="9"/>
  <c r="F143" i="9" s="1"/>
  <c r="F129" i="45"/>
  <c r="I133" i="49"/>
  <c r="H133" i="49"/>
  <c r="F132" i="38" l="1"/>
  <c r="B132" i="38"/>
  <c r="D143" i="5"/>
  <c r="B143" i="5" s="1"/>
  <c r="G142" i="5"/>
  <c r="I142" i="5" s="1"/>
  <c r="H141" i="3"/>
  <c r="F139" i="22"/>
  <c r="B142" i="5"/>
  <c r="H142" i="5"/>
  <c r="G131" i="40"/>
  <c r="I131" i="40" s="1"/>
  <c r="D132" i="40"/>
  <c r="B132" i="40" s="1"/>
  <c r="H131" i="40"/>
  <c r="G144" i="7"/>
  <c r="I144" i="7" s="1"/>
  <c r="D145" i="7"/>
  <c r="E145" i="7" s="1"/>
  <c r="F145" i="7" s="1"/>
  <c r="H144" i="7"/>
  <c r="G141" i="3"/>
  <c r="I141" i="3" s="1"/>
  <c r="J141" i="3" s="1"/>
  <c r="F133" i="37"/>
  <c r="H133" i="37" s="1"/>
  <c r="G141" i="8"/>
  <c r="I141" i="8" s="1"/>
  <c r="H141" i="8"/>
  <c r="D142" i="8"/>
  <c r="B140" i="4"/>
  <c r="E140" i="4"/>
  <c r="F140" i="4" s="1"/>
  <c r="J139" i="4"/>
  <c r="D138" i="27"/>
  <c r="G137" i="27"/>
  <c r="I137" i="27" s="1"/>
  <c r="E138" i="27"/>
  <c r="H137" i="27"/>
  <c r="B143" i="10"/>
  <c r="J130" i="43"/>
  <c r="J155" i="43" s="1"/>
  <c r="E143" i="10"/>
  <c r="F143" i="10" s="1"/>
  <c r="H131" i="41"/>
  <c r="E132" i="41"/>
  <c r="D132" i="41"/>
  <c r="G131" i="41"/>
  <c r="I131" i="41" s="1"/>
  <c r="B131" i="43"/>
  <c r="F131" i="43"/>
  <c r="G138" i="25"/>
  <c r="I138" i="25" s="1"/>
  <c r="D139" i="25"/>
  <c r="E139" i="25"/>
  <c r="H138" i="25"/>
  <c r="G140" i="6"/>
  <c r="I140" i="6" s="1"/>
  <c r="D141" i="6"/>
  <c r="E141" i="6" s="1"/>
  <c r="F141" i="6" s="1"/>
  <c r="E135" i="31"/>
  <c r="G134" i="31"/>
  <c r="I134" i="31" s="1"/>
  <c r="D135" i="31"/>
  <c r="H134" i="31"/>
  <c r="H140" i="6"/>
  <c r="G134" i="29"/>
  <c r="I134" i="29" s="1"/>
  <c r="J134" i="29" s="1"/>
  <c r="E135" i="29"/>
  <c r="D135" i="29"/>
  <c r="F132" i="40"/>
  <c r="D133" i="40" s="1"/>
  <c r="B133" i="40" s="1"/>
  <c r="E143" i="11"/>
  <c r="F143" i="11" s="1"/>
  <c r="H143" i="11" s="1"/>
  <c r="J135" i="28"/>
  <c r="B136" i="28"/>
  <c r="F136" i="28"/>
  <c r="H133" i="30"/>
  <c r="G133" i="30"/>
  <c r="I133" i="30" s="1"/>
  <c r="D134" i="30"/>
  <c r="B134" i="30" s="1"/>
  <c r="E134" i="30"/>
  <c r="F138" i="23"/>
  <c r="H133" i="39"/>
  <c r="G133" i="39"/>
  <c r="I133" i="39" s="1"/>
  <c r="D134" i="39"/>
  <c r="E134" i="39"/>
  <c r="G130" i="44"/>
  <c r="I130" i="44" s="1"/>
  <c r="J130" i="44" s="1"/>
  <c r="J155" i="44" s="1"/>
  <c r="D131" i="44"/>
  <c r="E131" i="44"/>
  <c r="E142" i="3"/>
  <c r="F142" i="3" s="1"/>
  <c r="H139" i="22"/>
  <c r="G139" i="22"/>
  <c r="I139" i="22" s="1"/>
  <c r="D140" i="22"/>
  <c r="B140" i="22" s="1"/>
  <c r="D129" i="46"/>
  <c r="G128" i="46"/>
  <c r="I128" i="46" s="1"/>
  <c r="E129" i="46"/>
  <c r="H129" i="45"/>
  <c r="G129" i="45"/>
  <c r="I129" i="45" s="1"/>
  <c r="D130" i="45"/>
  <c r="E130" i="45"/>
  <c r="H131" i="42"/>
  <c r="D132" i="42"/>
  <c r="G131" i="42"/>
  <c r="I131" i="42" s="1"/>
  <c r="E132" i="42"/>
  <c r="F136" i="47"/>
  <c r="D135" i="49"/>
  <c r="G134" i="49"/>
  <c r="H139" i="24"/>
  <c r="G139" i="24"/>
  <c r="I139" i="24" s="1"/>
  <c r="D140" i="24"/>
  <c r="B140" i="24" s="1"/>
  <c r="E134" i="48"/>
  <c r="F134" i="48" s="1"/>
  <c r="B134" i="48"/>
  <c r="G133" i="37"/>
  <c r="I133" i="37" s="1"/>
  <c r="E134" i="37"/>
  <c r="H143" i="9"/>
  <c r="G143" i="9"/>
  <c r="I143" i="9" s="1"/>
  <c r="D144" i="9"/>
  <c r="B144" i="9" s="1"/>
  <c r="H135" i="47"/>
  <c r="I135" i="47"/>
  <c r="H128" i="46"/>
  <c r="I133" i="48"/>
  <c r="H133" i="48"/>
  <c r="E143" i="5" l="1"/>
  <c r="F143" i="5" s="1"/>
  <c r="H143" i="5" s="1"/>
  <c r="H132" i="38"/>
  <c r="D133" i="38"/>
  <c r="G132" i="38"/>
  <c r="I132" i="38" s="1"/>
  <c r="E133" i="38"/>
  <c r="G143" i="5"/>
  <c r="I143" i="5" s="1"/>
  <c r="J142" i="5"/>
  <c r="D134" i="37"/>
  <c r="B134" i="37" s="1"/>
  <c r="J141" i="8"/>
  <c r="D146" i="7"/>
  <c r="G145" i="7"/>
  <c r="I145" i="7" s="1"/>
  <c r="B145" i="7"/>
  <c r="H145" i="7"/>
  <c r="J144" i="7"/>
  <c r="B142" i="8"/>
  <c r="E142" i="8"/>
  <c r="F142" i="8" s="1"/>
  <c r="H140" i="4"/>
  <c r="D141" i="4"/>
  <c r="G140" i="4"/>
  <c r="I140" i="4" s="1"/>
  <c r="G132" i="40"/>
  <c r="I132" i="40" s="1"/>
  <c r="D144" i="11"/>
  <c r="B144" i="11" s="1"/>
  <c r="J137" i="27"/>
  <c r="B138" i="27"/>
  <c r="F138" i="27"/>
  <c r="H138" i="27" s="1"/>
  <c r="D144" i="10"/>
  <c r="E144" i="10" s="1"/>
  <c r="F144" i="10" s="1"/>
  <c r="G143" i="10"/>
  <c r="I143" i="10" s="1"/>
  <c r="H143" i="10"/>
  <c r="E133" i="40"/>
  <c r="F132" i="41"/>
  <c r="H132" i="41" s="1"/>
  <c r="B132" i="41"/>
  <c r="E132" i="43"/>
  <c r="G131" i="43"/>
  <c r="I131" i="43" s="1"/>
  <c r="D132" i="43"/>
  <c r="H131" i="43"/>
  <c r="G143" i="11"/>
  <c r="I143" i="11" s="1"/>
  <c r="F139" i="25"/>
  <c r="B139" i="25"/>
  <c r="G141" i="6"/>
  <c r="I141" i="6" s="1"/>
  <c r="D142" i="6"/>
  <c r="E142" i="6" s="1"/>
  <c r="F142" i="6" s="1"/>
  <c r="B135" i="31"/>
  <c r="F135" i="31"/>
  <c r="H135" i="31" s="1"/>
  <c r="B141" i="6"/>
  <c r="H141" i="6"/>
  <c r="J134" i="31"/>
  <c r="J140" i="6"/>
  <c r="H132" i="40"/>
  <c r="B135" i="29"/>
  <c r="F135" i="29"/>
  <c r="H135" i="29" s="1"/>
  <c r="J143" i="5"/>
  <c r="J128" i="46"/>
  <c r="F134" i="30"/>
  <c r="G134" i="30" s="1"/>
  <c r="I134" i="30" s="1"/>
  <c r="F133" i="40"/>
  <c r="H133" i="40" s="1"/>
  <c r="E140" i="22"/>
  <c r="F140" i="22" s="1"/>
  <c r="G140" i="22" s="1"/>
  <c r="I140" i="22" s="1"/>
  <c r="J133" i="30"/>
  <c r="B130" i="45"/>
  <c r="F130" i="45"/>
  <c r="H130" i="45" s="1"/>
  <c r="H136" i="28"/>
  <c r="D137" i="28"/>
  <c r="B137" i="28" s="1"/>
  <c r="G136" i="28"/>
  <c r="I136" i="28" s="1"/>
  <c r="E137" i="28"/>
  <c r="E135" i="49"/>
  <c r="F135" i="49" s="1"/>
  <c r="B135" i="49"/>
  <c r="B132" i="42"/>
  <c r="F132" i="42"/>
  <c r="J129" i="45"/>
  <c r="F129" i="46"/>
  <c r="H129" i="46" s="1"/>
  <c r="B129" i="46"/>
  <c r="B131" i="44"/>
  <c r="F131" i="44"/>
  <c r="H134" i="49"/>
  <c r="I134" i="49"/>
  <c r="B134" i="39"/>
  <c r="F134" i="39"/>
  <c r="D137" i="47"/>
  <c r="B137" i="47" s="1"/>
  <c r="G136" i="47"/>
  <c r="E137" i="47"/>
  <c r="D135" i="48"/>
  <c r="G134" i="48"/>
  <c r="E144" i="9"/>
  <c r="F144" i="9" s="1"/>
  <c r="E140" i="24"/>
  <c r="F140" i="24" s="1"/>
  <c r="H142" i="3"/>
  <c r="G142" i="3"/>
  <c r="I142" i="3" s="1"/>
  <c r="D143" i="3"/>
  <c r="B143" i="3" s="1"/>
  <c r="H138" i="23"/>
  <c r="D139" i="23"/>
  <c r="B139" i="23" s="1"/>
  <c r="G138" i="23"/>
  <c r="I138" i="23" s="1"/>
  <c r="E139" i="23"/>
  <c r="D144" i="5" l="1"/>
  <c r="B133" i="38"/>
  <c r="F133" i="38"/>
  <c r="H133" i="38" s="1"/>
  <c r="F134" i="37"/>
  <c r="E135" i="37" s="1"/>
  <c r="D141" i="22"/>
  <c r="B141" i="22" s="1"/>
  <c r="H140" i="22"/>
  <c r="E144" i="11"/>
  <c r="F144" i="11" s="1"/>
  <c r="H144" i="11" s="1"/>
  <c r="J145" i="7"/>
  <c r="B146" i="7"/>
  <c r="E146" i="7"/>
  <c r="F146" i="7" s="1"/>
  <c r="D143" i="8"/>
  <c r="G142" i="8"/>
  <c r="I142" i="8" s="1"/>
  <c r="H142" i="8"/>
  <c r="J140" i="4"/>
  <c r="B141" i="4"/>
  <c r="E141" i="4"/>
  <c r="F141" i="4" s="1"/>
  <c r="D139" i="27"/>
  <c r="E139" i="27" s="1"/>
  <c r="F139" i="27" s="1"/>
  <c r="G138" i="27"/>
  <c r="I138" i="27" s="1"/>
  <c r="J138" i="27" s="1"/>
  <c r="E134" i="40"/>
  <c r="G144" i="10"/>
  <c r="I144" i="10" s="1"/>
  <c r="D145" i="10"/>
  <c r="E145" i="10" s="1"/>
  <c r="F145" i="10" s="1"/>
  <c r="J143" i="10"/>
  <c r="B144" i="10"/>
  <c r="H144" i="10"/>
  <c r="B132" i="43"/>
  <c r="F132" i="43"/>
  <c r="H132" i="43" s="1"/>
  <c r="D133" i="41"/>
  <c r="E133" i="41"/>
  <c r="G132" i="41"/>
  <c r="I132" i="41" s="1"/>
  <c r="D140" i="25"/>
  <c r="G139" i="25"/>
  <c r="I139" i="25" s="1"/>
  <c r="H139" i="25"/>
  <c r="E140" i="25"/>
  <c r="D134" i="40"/>
  <c r="B134" i="40" s="1"/>
  <c r="H134" i="30"/>
  <c r="J134" i="30" s="1"/>
  <c r="J141" i="6"/>
  <c r="D143" i="6"/>
  <c r="E143" i="6" s="1"/>
  <c r="F143" i="6" s="1"/>
  <c r="G142" i="6"/>
  <c r="I142" i="6" s="1"/>
  <c r="G133" i="40"/>
  <c r="I133" i="40" s="1"/>
  <c r="B142" i="6"/>
  <c r="H142" i="6"/>
  <c r="G135" i="31"/>
  <c r="I135" i="31" s="1"/>
  <c r="J135" i="31" s="1"/>
  <c r="D136" i="31"/>
  <c r="E136" i="31"/>
  <c r="D136" i="29"/>
  <c r="E136" i="29"/>
  <c r="G135" i="29"/>
  <c r="I135" i="29" s="1"/>
  <c r="J135" i="29" s="1"/>
  <c r="F139" i="23"/>
  <c r="G139" i="23" s="1"/>
  <c r="I139" i="23" s="1"/>
  <c r="F137" i="28"/>
  <c r="D138" i="28" s="1"/>
  <c r="B138" i="28" s="1"/>
  <c r="E135" i="30"/>
  <c r="D135" i="30"/>
  <c r="B135" i="30" s="1"/>
  <c r="D136" i="49"/>
  <c r="G135" i="49"/>
  <c r="H132" i="42"/>
  <c r="D133" i="42"/>
  <c r="G132" i="42"/>
  <c r="I132" i="42" s="1"/>
  <c r="E133" i="42"/>
  <c r="E143" i="3"/>
  <c r="F143" i="3" s="1"/>
  <c r="H134" i="48"/>
  <c r="I134" i="48"/>
  <c r="H140" i="24"/>
  <c r="G140" i="24"/>
  <c r="I140" i="24" s="1"/>
  <c r="D141" i="24"/>
  <c r="B141" i="24" s="1"/>
  <c r="H136" i="47"/>
  <c r="I136" i="47"/>
  <c r="E135" i="48"/>
  <c r="F135" i="48" s="1"/>
  <c r="B135" i="48"/>
  <c r="H134" i="39"/>
  <c r="G134" i="39"/>
  <c r="I134" i="39" s="1"/>
  <c r="D135" i="39"/>
  <c r="E135" i="39"/>
  <c r="H131" i="44"/>
  <c r="G131" i="44"/>
  <c r="I131" i="44" s="1"/>
  <c r="D132" i="44"/>
  <c r="E132" i="44"/>
  <c r="D130" i="46"/>
  <c r="G129" i="46"/>
  <c r="I129" i="46" s="1"/>
  <c r="J129" i="46" s="1"/>
  <c r="E130" i="46"/>
  <c r="J136" i="28"/>
  <c r="D131" i="45"/>
  <c r="G130" i="45"/>
  <c r="I130" i="45" s="1"/>
  <c r="J130" i="45" s="1"/>
  <c r="J155" i="45" s="1"/>
  <c r="E131" i="45"/>
  <c r="D145" i="11"/>
  <c r="B145" i="11" s="1"/>
  <c r="J142" i="3"/>
  <c r="H144" i="9"/>
  <c r="G144" i="9"/>
  <c r="I144" i="9" s="1"/>
  <c r="D145" i="9"/>
  <c r="B145" i="9" s="1"/>
  <c r="E141" i="22"/>
  <c r="F141" i="22" s="1"/>
  <c r="F137" i="47"/>
  <c r="D135" i="37"/>
  <c r="B135" i="37" s="1"/>
  <c r="B144" i="5" l="1"/>
  <c r="E144" i="5"/>
  <c r="F144" i="5" s="1"/>
  <c r="G134" i="37"/>
  <c r="I134" i="37" s="1"/>
  <c r="H134" i="37"/>
  <c r="G144" i="11"/>
  <c r="I144" i="11" s="1"/>
  <c r="E134" i="38"/>
  <c r="G133" i="38"/>
  <c r="I133" i="38" s="1"/>
  <c r="D134" i="38"/>
  <c r="H146" i="7"/>
  <c r="G146" i="7"/>
  <c r="I146" i="7" s="1"/>
  <c r="D147" i="7"/>
  <c r="D140" i="23"/>
  <c r="B140" i="23" s="1"/>
  <c r="J142" i="8"/>
  <c r="B143" i="8"/>
  <c r="E143" i="8"/>
  <c r="F143" i="8" s="1"/>
  <c r="G141" i="4"/>
  <c r="I141" i="4" s="1"/>
  <c r="D142" i="4"/>
  <c r="H141" i="4"/>
  <c r="H137" i="28"/>
  <c r="F134" i="40"/>
  <c r="E135" i="40" s="1"/>
  <c r="D140" i="27"/>
  <c r="E140" i="27" s="1"/>
  <c r="F140" i="27" s="1"/>
  <c r="G139" i="27"/>
  <c r="I139" i="27" s="1"/>
  <c r="B139" i="27"/>
  <c r="H139" i="27"/>
  <c r="E138" i="28"/>
  <c r="G145" i="10"/>
  <c r="I145" i="10" s="1"/>
  <c r="D146" i="10"/>
  <c r="E146" i="10" s="1"/>
  <c r="F146" i="10" s="1"/>
  <c r="G137" i="28"/>
  <c r="I137" i="28" s="1"/>
  <c r="J137" i="28" s="1"/>
  <c r="B145" i="10"/>
  <c r="H145" i="10"/>
  <c r="J144" i="10"/>
  <c r="F133" i="41"/>
  <c r="B133" i="41"/>
  <c r="G132" i="43"/>
  <c r="I132" i="43" s="1"/>
  <c r="D133" i="43"/>
  <c r="E133" i="43"/>
  <c r="B140" i="25"/>
  <c r="F140" i="25"/>
  <c r="B136" i="31"/>
  <c r="F136" i="31"/>
  <c r="H136" i="31" s="1"/>
  <c r="G143" i="6"/>
  <c r="I143" i="6" s="1"/>
  <c r="D144" i="6"/>
  <c r="B144" i="6" s="1"/>
  <c r="J142" i="6"/>
  <c r="B143" i="6"/>
  <c r="H143" i="6"/>
  <c r="H139" i="23"/>
  <c r="B136" i="29"/>
  <c r="F136" i="29"/>
  <c r="H136" i="29" s="1"/>
  <c r="F138" i="28"/>
  <c r="G138" i="28" s="1"/>
  <c r="I138" i="28" s="1"/>
  <c r="F135" i="37"/>
  <c r="G135" i="37" s="1"/>
  <c r="I135" i="37" s="1"/>
  <c r="E145" i="9"/>
  <c r="F145" i="9" s="1"/>
  <c r="H145" i="9" s="1"/>
  <c r="F135" i="30"/>
  <c r="F135" i="39"/>
  <c r="B135" i="39"/>
  <c r="H141" i="22"/>
  <c r="G141" i="22"/>
  <c r="I141" i="22" s="1"/>
  <c r="D142" i="22"/>
  <c r="B142" i="22" s="1"/>
  <c r="E145" i="11"/>
  <c r="F145" i="11" s="1"/>
  <c r="B131" i="45"/>
  <c r="F131" i="45"/>
  <c r="E141" i="24"/>
  <c r="F141" i="24" s="1"/>
  <c r="B133" i="42"/>
  <c r="F133" i="42"/>
  <c r="B130" i="46"/>
  <c r="F130" i="46"/>
  <c r="H130" i="46" s="1"/>
  <c r="H143" i="3"/>
  <c r="G143" i="3"/>
  <c r="I143" i="3" s="1"/>
  <c r="D144" i="3"/>
  <c r="B144" i="3" s="1"/>
  <c r="H135" i="49"/>
  <c r="I135" i="49"/>
  <c r="G137" i="47"/>
  <c r="D138" i="47"/>
  <c r="B132" i="44"/>
  <c r="F132" i="44"/>
  <c r="G135" i="48"/>
  <c r="D136" i="48"/>
  <c r="E136" i="49"/>
  <c r="F136" i="49" s="1"/>
  <c r="B136" i="49"/>
  <c r="J146" i="7" l="1"/>
  <c r="D145" i="5"/>
  <c r="H144" i="5"/>
  <c r="G144" i="5"/>
  <c r="I144" i="5" s="1"/>
  <c r="J144" i="5" s="1"/>
  <c r="F134" i="38"/>
  <c r="B134" i="38"/>
  <c r="H134" i="38"/>
  <c r="G134" i="40"/>
  <c r="I134" i="40" s="1"/>
  <c r="D136" i="37"/>
  <c r="B136" i="37" s="1"/>
  <c r="D135" i="40"/>
  <c r="B135" i="40" s="1"/>
  <c r="B147" i="7"/>
  <c r="E147" i="7"/>
  <c r="F147" i="7" s="1"/>
  <c r="E140" i="23"/>
  <c r="F140" i="23" s="1"/>
  <c r="H134" i="40"/>
  <c r="G143" i="8"/>
  <c r="I143" i="8" s="1"/>
  <c r="D144" i="8"/>
  <c r="H143" i="8"/>
  <c r="J141" i="4"/>
  <c r="B142" i="4"/>
  <c r="E142" i="4"/>
  <c r="F142" i="4" s="1"/>
  <c r="H135" i="37"/>
  <c r="G140" i="27"/>
  <c r="I140" i="27" s="1"/>
  <c r="D141" i="27"/>
  <c r="J139" i="27"/>
  <c r="B140" i="27"/>
  <c r="H140" i="27"/>
  <c r="E136" i="37"/>
  <c r="H138" i="28"/>
  <c r="J138" i="28" s="1"/>
  <c r="G146" i="10"/>
  <c r="I146" i="10" s="1"/>
  <c r="D147" i="10"/>
  <c r="E147" i="10" s="1"/>
  <c r="F147" i="10" s="1"/>
  <c r="B146" i="10"/>
  <c r="H146" i="10"/>
  <c r="J145" i="10"/>
  <c r="G145" i="9"/>
  <c r="I145" i="9" s="1"/>
  <c r="D146" i="9"/>
  <c r="B146" i="9" s="1"/>
  <c r="B133" i="43"/>
  <c r="F133" i="43"/>
  <c r="H133" i="43" s="1"/>
  <c r="H133" i="41"/>
  <c r="G133" i="41"/>
  <c r="I133" i="41" s="1"/>
  <c r="E134" i="41"/>
  <c r="D134" i="41"/>
  <c r="H140" i="25"/>
  <c r="D141" i="25"/>
  <c r="G140" i="25"/>
  <c r="I140" i="25" s="1"/>
  <c r="J143" i="6"/>
  <c r="E144" i="6"/>
  <c r="F144" i="6" s="1"/>
  <c r="D137" i="31"/>
  <c r="G136" i="31"/>
  <c r="I136" i="31" s="1"/>
  <c r="J136" i="31" s="1"/>
  <c r="E137" i="31"/>
  <c r="D139" i="28"/>
  <c r="E139" i="28" s="1"/>
  <c r="D137" i="29"/>
  <c r="G136" i="29"/>
  <c r="I136" i="29" s="1"/>
  <c r="J136" i="29" s="1"/>
  <c r="E137" i="29"/>
  <c r="E144" i="3"/>
  <c r="F144" i="3" s="1"/>
  <c r="D145" i="3" s="1"/>
  <c r="B145" i="3" s="1"/>
  <c r="G135" i="30"/>
  <c r="I135" i="30" s="1"/>
  <c r="H135" i="30"/>
  <c r="D136" i="30"/>
  <c r="E136" i="30"/>
  <c r="E138" i="47"/>
  <c r="F138" i="47" s="1"/>
  <c r="B138" i="47"/>
  <c r="H133" i="42"/>
  <c r="D134" i="42"/>
  <c r="G133" i="42"/>
  <c r="I133" i="42" s="1"/>
  <c r="E134" i="42"/>
  <c r="H135" i="48"/>
  <c r="I135" i="48"/>
  <c r="I137" i="47"/>
  <c r="H137" i="47"/>
  <c r="G130" i="46"/>
  <c r="I130" i="46" s="1"/>
  <c r="J130" i="46" s="1"/>
  <c r="J155" i="46" s="1"/>
  <c r="D131" i="46"/>
  <c r="E131" i="46"/>
  <c r="H141" i="24"/>
  <c r="G141" i="24"/>
  <c r="I141" i="24" s="1"/>
  <c r="D142" i="24"/>
  <c r="B142" i="24" s="1"/>
  <c r="F135" i="40"/>
  <c r="H145" i="11"/>
  <c r="D146" i="11"/>
  <c r="B146" i="11" s="1"/>
  <c r="G145" i="11"/>
  <c r="I145" i="11" s="1"/>
  <c r="D137" i="49"/>
  <c r="G136" i="49"/>
  <c r="H140" i="23"/>
  <c r="D141" i="23"/>
  <c r="B141" i="23" s="1"/>
  <c r="G140" i="23"/>
  <c r="I140" i="23" s="1"/>
  <c r="E136" i="48"/>
  <c r="F136" i="48" s="1"/>
  <c r="B136" i="48"/>
  <c r="H132" i="44"/>
  <c r="G132" i="44"/>
  <c r="I132" i="44" s="1"/>
  <c r="D133" i="44"/>
  <c r="E133" i="44"/>
  <c r="J143" i="3"/>
  <c r="H131" i="45"/>
  <c r="D132" i="45"/>
  <c r="G131" i="45"/>
  <c r="I131" i="45" s="1"/>
  <c r="E132" i="45"/>
  <c r="E142" i="22"/>
  <c r="F142" i="22" s="1"/>
  <c r="H135" i="39"/>
  <c r="G135" i="39"/>
  <c r="I135" i="39" s="1"/>
  <c r="D136" i="39"/>
  <c r="B136" i="39" s="1"/>
  <c r="E136" i="39"/>
  <c r="B145" i="5" l="1"/>
  <c r="E145" i="5"/>
  <c r="F145" i="5" s="1"/>
  <c r="G144" i="3"/>
  <c r="I144" i="3" s="1"/>
  <c r="B139" i="28"/>
  <c r="G134" i="38"/>
  <c r="I134" i="38" s="1"/>
  <c r="E135" i="38"/>
  <c r="D135" i="38"/>
  <c r="F136" i="37"/>
  <c r="H136" i="37" s="1"/>
  <c r="D148" i="7"/>
  <c r="B148" i="7" s="1"/>
  <c r="G147" i="7"/>
  <c r="I147" i="7" s="1"/>
  <c r="H147" i="7"/>
  <c r="E144" i="8"/>
  <c r="F144" i="8" s="1"/>
  <c r="H144" i="8" s="1"/>
  <c r="B144" i="8"/>
  <c r="J143" i="8"/>
  <c r="D143" i="4"/>
  <c r="H142" i="4"/>
  <c r="G142" i="4"/>
  <c r="I142" i="4" s="1"/>
  <c r="B141" i="27"/>
  <c r="E141" i="27"/>
  <c r="F141" i="27" s="1"/>
  <c r="J140" i="27"/>
  <c r="E146" i="9"/>
  <c r="F146" i="9" s="1"/>
  <c r="H146" i="9" s="1"/>
  <c r="F139" i="28"/>
  <c r="H139" i="28" s="1"/>
  <c r="H144" i="3"/>
  <c r="J144" i="3" s="1"/>
  <c r="B147" i="10"/>
  <c r="H147" i="10"/>
  <c r="D148" i="10"/>
  <c r="G147" i="10"/>
  <c r="I147" i="10" s="1"/>
  <c r="J146" i="10"/>
  <c r="F134" i="41"/>
  <c r="H134" i="41" s="1"/>
  <c r="B134" i="41"/>
  <c r="D134" i="43"/>
  <c r="E134" i="43"/>
  <c r="G133" i="43"/>
  <c r="I133" i="43" s="1"/>
  <c r="B141" i="25"/>
  <c r="E141" i="25"/>
  <c r="F141" i="25" s="1"/>
  <c r="B137" i="31"/>
  <c r="F137" i="31"/>
  <c r="H137" i="31" s="1"/>
  <c r="H144" i="6"/>
  <c r="D145" i="6"/>
  <c r="E145" i="6" s="1"/>
  <c r="F145" i="6" s="1"/>
  <c r="G144" i="6"/>
  <c r="I144" i="6" s="1"/>
  <c r="E142" i="24"/>
  <c r="F142" i="24" s="1"/>
  <c r="G142" i="24" s="1"/>
  <c r="I142" i="24" s="1"/>
  <c r="B137" i="29"/>
  <c r="F137" i="29"/>
  <c r="H137" i="29" s="1"/>
  <c r="F136" i="30"/>
  <c r="E137" i="30" s="1"/>
  <c r="E146" i="11"/>
  <c r="F146" i="11" s="1"/>
  <c r="G146" i="11" s="1"/>
  <c r="I146" i="11" s="1"/>
  <c r="J135" i="30"/>
  <c r="B136" i="30"/>
  <c r="D137" i="30"/>
  <c r="E145" i="3"/>
  <c r="F145" i="3" s="1"/>
  <c r="G145" i="3" s="1"/>
  <c r="I145" i="3" s="1"/>
  <c r="D137" i="48"/>
  <c r="G136" i="48"/>
  <c r="F136" i="39"/>
  <c r="B132" i="45"/>
  <c r="F132" i="45"/>
  <c r="F133" i="44"/>
  <c r="H133" i="44" s="1"/>
  <c r="B133" i="44"/>
  <c r="E141" i="23"/>
  <c r="F141" i="23" s="1"/>
  <c r="I136" i="49"/>
  <c r="H136" i="49"/>
  <c r="E137" i="49"/>
  <c r="F137" i="49" s="1"/>
  <c r="B137" i="49"/>
  <c r="D139" i="47"/>
  <c r="G138" i="47"/>
  <c r="H142" i="22"/>
  <c r="G142" i="22"/>
  <c r="I142" i="22" s="1"/>
  <c r="D143" i="22"/>
  <c r="B143" i="22" s="1"/>
  <c r="H135" i="40"/>
  <c r="G135" i="40"/>
  <c r="I135" i="40" s="1"/>
  <c r="D136" i="40"/>
  <c r="B136" i="40" s="1"/>
  <c r="E136" i="40"/>
  <c r="F131" i="46"/>
  <c r="B131" i="46"/>
  <c r="B134" i="42"/>
  <c r="F134" i="42"/>
  <c r="G136" i="37" l="1"/>
  <c r="I136" i="37" s="1"/>
  <c r="D137" i="37"/>
  <c r="B137" i="37" s="1"/>
  <c r="H145" i="5"/>
  <c r="D146" i="5"/>
  <c r="G145" i="5"/>
  <c r="I145" i="5" s="1"/>
  <c r="E137" i="37"/>
  <c r="B135" i="38"/>
  <c r="F135" i="38"/>
  <c r="H135" i="38" s="1"/>
  <c r="H146" i="11"/>
  <c r="D140" i="28"/>
  <c r="B140" i="28" s="1"/>
  <c r="G139" i="28"/>
  <c r="I139" i="28" s="1"/>
  <c r="J147" i="7"/>
  <c r="E148" i="7"/>
  <c r="F148" i="7" s="1"/>
  <c r="D145" i="8"/>
  <c r="E145" i="8" s="1"/>
  <c r="F145" i="8" s="1"/>
  <c r="G144" i="8"/>
  <c r="I144" i="8" s="1"/>
  <c r="J144" i="8" s="1"/>
  <c r="F137" i="37"/>
  <c r="G137" i="37" s="1"/>
  <c r="I137" i="37" s="1"/>
  <c r="D147" i="9"/>
  <c r="B147" i="9" s="1"/>
  <c r="J142" i="4"/>
  <c r="B143" i="4"/>
  <c r="E143" i="4"/>
  <c r="F143" i="4" s="1"/>
  <c r="G146" i="9"/>
  <c r="I146" i="9" s="1"/>
  <c r="D142" i="27"/>
  <c r="B142" i="27" s="1"/>
  <c r="G141" i="27"/>
  <c r="I141" i="27" s="1"/>
  <c r="H141" i="27"/>
  <c r="H145" i="3"/>
  <c r="J145" i="3" s="1"/>
  <c r="B148" i="10"/>
  <c r="D147" i="11"/>
  <c r="B147" i="11" s="1"/>
  <c r="E148" i="10"/>
  <c r="F148" i="10" s="1"/>
  <c r="J147" i="10"/>
  <c r="D146" i="3"/>
  <c r="B146" i="3" s="1"/>
  <c r="H142" i="24"/>
  <c r="B134" i="43"/>
  <c r="F134" i="43"/>
  <c r="H134" i="43" s="1"/>
  <c r="G134" i="41"/>
  <c r="I134" i="41" s="1"/>
  <c r="E135" i="41"/>
  <c r="D135" i="41"/>
  <c r="D143" i="24"/>
  <c r="B143" i="24" s="1"/>
  <c r="D142" i="25"/>
  <c r="H141" i="25"/>
  <c r="G141" i="25"/>
  <c r="I141" i="25" s="1"/>
  <c r="D146" i="6"/>
  <c r="E146" i="6" s="1"/>
  <c r="F146" i="6" s="1"/>
  <c r="G145" i="6"/>
  <c r="I145" i="6" s="1"/>
  <c r="J144" i="6"/>
  <c r="G137" i="31"/>
  <c r="I137" i="31" s="1"/>
  <c r="J137" i="31" s="1"/>
  <c r="D138" i="31"/>
  <c r="E138" i="31"/>
  <c r="B145" i="6"/>
  <c r="H145" i="6"/>
  <c r="G136" i="30"/>
  <c r="I136" i="30" s="1"/>
  <c r="H136" i="30"/>
  <c r="D138" i="29"/>
  <c r="E138" i="29"/>
  <c r="G137" i="29"/>
  <c r="I137" i="29" s="1"/>
  <c r="J137" i="29" s="1"/>
  <c r="F137" i="30"/>
  <c r="E138" i="30" s="1"/>
  <c r="J139" i="28"/>
  <c r="B137" i="30"/>
  <c r="F136" i="40"/>
  <c r="E137" i="40" s="1"/>
  <c r="H136" i="39"/>
  <c r="D137" i="39"/>
  <c r="B137" i="39" s="1"/>
  <c r="G136" i="39"/>
  <c r="I136" i="39" s="1"/>
  <c r="E137" i="39"/>
  <c r="D132" i="46"/>
  <c r="G131" i="46"/>
  <c r="I131" i="46" s="1"/>
  <c r="E132" i="46"/>
  <c r="G133" i="44"/>
  <c r="I133" i="44" s="1"/>
  <c r="D134" i="44"/>
  <c r="E134" i="44"/>
  <c r="H136" i="48"/>
  <c r="I136" i="48"/>
  <c r="E139" i="47"/>
  <c r="F139" i="47" s="1"/>
  <c r="B139" i="47"/>
  <c r="D138" i="49"/>
  <c r="G137" i="49"/>
  <c r="H134" i="42"/>
  <c r="G134" i="42"/>
  <c r="I134" i="42" s="1"/>
  <c r="D135" i="42"/>
  <c r="E135" i="42"/>
  <c r="H131" i="46"/>
  <c r="E140" i="28"/>
  <c r="F140" i="28" s="1"/>
  <c r="E143" i="22"/>
  <c r="F143" i="22" s="1"/>
  <c r="H138" i="47"/>
  <c r="I138" i="47"/>
  <c r="H141" i="23"/>
  <c r="G141" i="23"/>
  <c r="I141" i="23" s="1"/>
  <c r="D142" i="23"/>
  <c r="B142" i="23" s="1"/>
  <c r="H132" i="45"/>
  <c r="G132" i="45"/>
  <c r="I132" i="45" s="1"/>
  <c r="D133" i="45"/>
  <c r="E133" i="45"/>
  <c r="E137" i="48"/>
  <c r="F137" i="48" s="1"/>
  <c r="B137" i="48"/>
  <c r="H137" i="37" l="1"/>
  <c r="J145" i="5"/>
  <c r="B146" i="5"/>
  <c r="E146" i="5"/>
  <c r="F146" i="5" s="1"/>
  <c r="E136" i="38"/>
  <c r="D136" i="38"/>
  <c r="G135" i="38"/>
  <c r="I135" i="38" s="1"/>
  <c r="D138" i="30"/>
  <c r="F138" i="30" s="1"/>
  <c r="G138" i="30" s="1"/>
  <c r="I138" i="30" s="1"/>
  <c r="H148" i="7"/>
  <c r="G148" i="7"/>
  <c r="I148" i="7" s="1"/>
  <c r="D149" i="7"/>
  <c r="G145" i="8"/>
  <c r="I145" i="8" s="1"/>
  <c r="D146" i="8"/>
  <c r="D138" i="37"/>
  <c r="B138" i="37" s="1"/>
  <c r="B145" i="8"/>
  <c r="H145" i="8"/>
  <c r="E147" i="9"/>
  <c r="F147" i="9" s="1"/>
  <c r="H147" i="9" s="1"/>
  <c r="D144" i="4"/>
  <c r="H143" i="4"/>
  <c r="G143" i="4"/>
  <c r="I143" i="4" s="1"/>
  <c r="H136" i="40"/>
  <c r="E143" i="24"/>
  <c r="F143" i="24" s="1"/>
  <c r="G143" i="24" s="1"/>
  <c r="I143" i="24" s="1"/>
  <c r="J141" i="27"/>
  <c r="E146" i="3"/>
  <c r="F146" i="3" s="1"/>
  <c r="G146" i="3" s="1"/>
  <c r="I146" i="3" s="1"/>
  <c r="E142" i="27"/>
  <c r="F142" i="27" s="1"/>
  <c r="H137" i="30"/>
  <c r="G137" i="30"/>
  <c r="I137" i="30" s="1"/>
  <c r="D149" i="10"/>
  <c r="E149" i="10" s="1"/>
  <c r="F149" i="10" s="1"/>
  <c r="G148" i="10"/>
  <c r="I148" i="10" s="1"/>
  <c r="H148" i="10"/>
  <c r="D137" i="40"/>
  <c r="B137" i="40" s="1"/>
  <c r="E147" i="11"/>
  <c r="F147" i="11" s="1"/>
  <c r="H147" i="11" s="1"/>
  <c r="G136" i="40"/>
  <c r="I136" i="40" s="1"/>
  <c r="B135" i="41"/>
  <c r="F135" i="41"/>
  <c r="H135" i="41" s="1"/>
  <c r="D135" i="43"/>
  <c r="E135" i="43"/>
  <c r="G134" i="43"/>
  <c r="I134" i="43" s="1"/>
  <c r="J136" i="30"/>
  <c r="B142" i="25"/>
  <c r="E142" i="25"/>
  <c r="F142" i="25" s="1"/>
  <c r="G146" i="6"/>
  <c r="I146" i="6" s="1"/>
  <c r="D147" i="6"/>
  <c r="B147" i="6" s="1"/>
  <c r="B138" i="31"/>
  <c r="F138" i="31"/>
  <c r="J145" i="6"/>
  <c r="B146" i="6"/>
  <c r="H146" i="6"/>
  <c r="B138" i="29"/>
  <c r="F138" i="29"/>
  <c r="H138" i="29" s="1"/>
  <c r="F137" i="39"/>
  <c r="H137" i="39" s="1"/>
  <c r="B138" i="30"/>
  <c r="D140" i="47"/>
  <c r="G139" i="47"/>
  <c r="D138" i="48"/>
  <c r="G137" i="48"/>
  <c r="F133" i="45"/>
  <c r="B133" i="45"/>
  <c r="H143" i="22"/>
  <c r="G143" i="22"/>
  <c r="I143" i="22" s="1"/>
  <c r="D144" i="22"/>
  <c r="B144" i="22" s="1"/>
  <c r="I137" i="49"/>
  <c r="H137" i="49"/>
  <c r="B135" i="42"/>
  <c r="F135" i="42"/>
  <c r="E138" i="49"/>
  <c r="F138" i="49" s="1"/>
  <c r="B138" i="49"/>
  <c r="E142" i="23"/>
  <c r="F142" i="23" s="1"/>
  <c r="H140" i="28"/>
  <c r="D141" i="28"/>
  <c r="B141" i="28" s="1"/>
  <c r="G140" i="28"/>
  <c r="I140" i="28" s="1"/>
  <c r="B134" i="44"/>
  <c r="F134" i="44"/>
  <c r="B132" i="46"/>
  <c r="F132" i="46"/>
  <c r="H132" i="46" s="1"/>
  <c r="D147" i="5" l="1"/>
  <c r="E147" i="5" s="1"/>
  <c r="F147" i="5" s="1"/>
  <c r="G146" i="5"/>
  <c r="I146" i="5" s="1"/>
  <c r="H146" i="5"/>
  <c r="B136" i="38"/>
  <c r="F136" i="38"/>
  <c r="H136" i="38"/>
  <c r="G137" i="39"/>
  <c r="I137" i="39" s="1"/>
  <c r="D138" i="39"/>
  <c r="B138" i="39" s="1"/>
  <c r="J148" i="7"/>
  <c r="D144" i="24"/>
  <c r="B144" i="24" s="1"/>
  <c r="D147" i="3"/>
  <c r="B147" i="3" s="1"/>
  <c r="B149" i="7"/>
  <c r="E149" i="7"/>
  <c r="F149" i="7" s="1"/>
  <c r="E138" i="37"/>
  <c r="F138" i="37" s="1"/>
  <c r="D139" i="37" s="1"/>
  <c r="B139" i="37" s="1"/>
  <c r="E146" i="8"/>
  <c r="F146" i="8" s="1"/>
  <c r="H146" i="8" s="1"/>
  <c r="B146" i="8"/>
  <c r="J145" i="8"/>
  <c r="J143" i="4"/>
  <c r="D148" i="9"/>
  <c r="E148" i="9" s="1"/>
  <c r="F148" i="9" s="1"/>
  <c r="G147" i="9"/>
  <c r="I147" i="9" s="1"/>
  <c r="H143" i="24"/>
  <c r="E144" i="24"/>
  <c r="F144" i="24" s="1"/>
  <c r="G144" i="24" s="1"/>
  <c r="I144" i="24" s="1"/>
  <c r="B144" i="4"/>
  <c r="E144" i="4"/>
  <c r="F144" i="4" s="1"/>
  <c r="H146" i="3"/>
  <c r="F137" i="40"/>
  <c r="D138" i="40" s="1"/>
  <c r="B138" i="40" s="1"/>
  <c r="H142" i="27"/>
  <c r="D143" i="27"/>
  <c r="G142" i="27"/>
  <c r="I142" i="27" s="1"/>
  <c r="J148" i="10"/>
  <c r="J137" i="30"/>
  <c r="G149" i="10"/>
  <c r="I149" i="10" s="1"/>
  <c r="D150" i="10"/>
  <c r="E150" i="10" s="1"/>
  <c r="F150" i="10" s="1"/>
  <c r="B149" i="10"/>
  <c r="H149" i="10"/>
  <c r="G147" i="11"/>
  <c r="I147" i="11" s="1"/>
  <c r="D148" i="11"/>
  <c r="B148" i="11" s="1"/>
  <c r="E136" i="41"/>
  <c r="D136" i="41"/>
  <c r="G135" i="41"/>
  <c r="I135" i="41" s="1"/>
  <c r="B135" i="43"/>
  <c r="F135" i="43"/>
  <c r="H135" i="43" s="1"/>
  <c r="D139" i="30"/>
  <c r="E139" i="30" s="1"/>
  <c r="H138" i="30"/>
  <c r="J138" i="30" s="1"/>
  <c r="G142" i="25"/>
  <c r="I142" i="25" s="1"/>
  <c r="D143" i="25"/>
  <c r="E143" i="25" s="1"/>
  <c r="F143" i="25" s="1"/>
  <c r="H142" i="25"/>
  <c r="E147" i="6"/>
  <c r="F147" i="6" s="1"/>
  <c r="G138" i="31"/>
  <c r="I138" i="31" s="1"/>
  <c r="D139" i="31"/>
  <c r="E139" i="31" s="1"/>
  <c r="F139" i="31" s="1"/>
  <c r="H138" i="31"/>
  <c r="J146" i="6"/>
  <c r="J146" i="3"/>
  <c r="G138" i="29"/>
  <c r="I138" i="29" s="1"/>
  <c r="J138" i="29" s="1"/>
  <c r="D139" i="29"/>
  <c r="E139" i="29" s="1"/>
  <c r="F139" i="29" s="1"/>
  <c r="J140" i="28"/>
  <c r="E144" i="22"/>
  <c r="F144" i="22" s="1"/>
  <c r="G144" i="22" s="1"/>
  <c r="I144" i="22" s="1"/>
  <c r="D139" i="49"/>
  <c r="G138" i="49"/>
  <c r="G134" i="44"/>
  <c r="I134" i="44" s="1"/>
  <c r="D135" i="44"/>
  <c r="E135" i="44"/>
  <c r="H137" i="48"/>
  <c r="I137" i="48"/>
  <c r="H142" i="23"/>
  <c r="D143" i="23"/>
  <c r="B143" i="23" s="1"/>
  <c r="G142" i="23"/>
  <c r="I142" i="23" s="1"/>
  <c r="H135" i="42"/>
  <c r="D136" i="42"/>
  <c r="B136" i="42" s="1"/>
  <c r="G135" i="42"/>
  <c r="I135" i="42" s="1"/>
  <c r="E136" i="42"/>
  <c r="E138" i="48"/>
  <c r="F138" i="48" s="1"/>
  <c r="B138" i="48"/>
  <c r="H133" i="45"/>
  <c r="D134" i="45"/>
  <c r="G133" i="45"/>
  <c r="I133" i="45" s="1"/>
  <c r="E134" i="45"/>
  <c r="I139" i="47"/>
  <c r="H139" i="47"/>
  <c r="D133" i="46"/>
  <c r="G132" i="46"/>
  <c r="I132" i="46" s="1"/>
  <c r="E133" i="46"/>
  <c r="H134" i="44"/>
  <c r="E141" i="28"/>
  <c r="F141" i="28" s="1"/>
  <c r="E140" i="47"/>
  <c r="F140" i="47" s="1"/>
  <c r="B140" i="47"/>
  <c r="E138" i="39" l="1"/>
  <c r="F138" i="39" s="1"/>
  <c r="G138" i="39" s="1"/>
  <c r="I138" i="39" s="1"/>
  <c r="D148" i="5"/>
  <c r="G147" i="5"/>
  <c r="I147" i="5" s="1"/>
  <c r="E148" i="5"/>
  <c r="F148" i="5" s="1"/>
  <c r="J146" i="5"/>
  <c r="B147" i="5"/>
  <c r="H147" i="5"/>
  <c r="G136" i="38"/>
  <c r="I136" i="38" s="1"/>
  <c r="D137" i="38"/>
  <c r="E137" i="38"/>
  <c r="E147" i="3"/>
  <c r="F147" i="3" s="1"/>
  <c r="E139" i="37"/>
  <c r="F139" i="37" s="1"/>
  <c r="D140" i="37" s="1"/>
  <c r="E140" i="37" s="1"/>
  <c r="F140" i="37" s="1"/>
  <c r="H138" i="37"/>
  <c r="D150" i="7"/>
  <c r="E150" i="7" s="1"/>
  <c r="F150" i="7" s="1"/>
  <c r="G149" i="7"/>
  <c r="I149" i="7" s="1"/>
  <c r="H149" i="7"/>
  <c r="H137" i="40"/>
  <c r="G138" i="37"/>
  <c r="I138" i="37" s="1"/>
  <c r="D145" i="24"/>
  <c r="B145" i="24" s="1"/>
  <c r="D147" i="8"/>
  <c r="E147" i="8" s="1"/>
  <c r="F147" i="8" s="1"/>
  <c r="G146" i="8"/>
  <c r="I146" i="8" s="1"/>
  <c r="J146" i="8" s="1"/>
  <c r="H144" i="24"/>
  <c r="D149" i="9"/>
  <c r="G148" i="9"/>
  <c r="I148" i="9" s="1"/>
  <c r="B148" i="9"/>
  <c r="H148" i="9"/>
  <c r="H144" i="4"/>
  <c r="G144" i="4"/>
  <c r="I144" i="4" s="1"/>
  <c r="D145" i="4"/>
  <c r="E145" i="4" s="1"/>
  <c r="F145" i="4" s="1"/>
  <c r="E138" i="40"/>
  <c r="F138" i="40" s="1"/>
  <c r="H138" i="40" s="1"/>
  <c r="G137" i="40"/>
  <c r="I137" i="40" s="1"/>
  <c r="J142" i="27"/>
  <c r="B143" i="27"/>
  <c r="E143" i="27"/>
  <c r="F143" i="27" s="1"/>
  <c r="B139" i="30"/>
  <c r="B150" i="10"/>
  <c r="H150" i="10"/>
  <c r="G150" i="10"/>
  <c r="I150" i="10" s="1"/>
  <c r="D151" i="10"/>
  <c r="E151" i="10" s="1"/>
  <c r="F151" i="10" s="1"/>
  <c r="E148" i="11"/>
  <c r="F148" i="11" s="1"/>
  <c r="J149" i="10"/>
  <c r="H138" i="39"/>
  <c r="G135" i="43"/>
  <c r="I135" i="43" s="1"/>
  <c r="D136" i="43"/>
  <c r="E136" i="43"/>
  <c r="F136" i="41"/>
  <c r="H136" i="41" s="1"/>
  <c r="B136" i="41"/>
  <c r="H144" i="22"/>
  <c r="F139" i="30"/>
  <c r="H139" i="30" s="1"/>
  <c r="G138" i="40"/>
  <c r="I138" i="40" s="1"/>
  <c r="D144" i="25"/>
  <c r="E144" i="25" s="1"/>
  <c r="F144" i="25" s="1"/>
  <c r="G143" i="25"/>
  <c r="I143" i="25" s="1"/>
  <c r="B143" i="25"/>
  <c r="H143" i="25"/>
  <c r="G139" i="31"/>
  <c r="I139" i="31" s="1"/>
  <c r="D140" i="31"/>
  <c r="E140" i="31" s="1"/>
  <c r="F140" i="31" s="1"/>
  <c r="B139" i="31"/>
  <c r="H139" i="31"/>
  <c r="J138" i="31"/>
  <c r="H147" i="6"/>
  <c r="G147" i="6"/>
  <c r="I147" i="6" s="1"/>
  <c r="D148" i="6"/>
  <c r="G139" i="29"/>
  <c r="I139" i="29" s="1"/>
  <c r="D140" i="29"/>
  <c r="E140" i="29" s="1"/>
  <c r="F140" i="29" s="1"/>
  <c r="B139" i="29"/>
  <c r="H139" i="29"/>
  <c r="D139" i="39"/>
  <c r="E139" i="39" s="1"/>
  <c r="F139" i="39" s="1"/>
  <c r="D139" i="40"/>
  <c r="B139" i="40" s="1"/>
  <c r="D145" i="22"/>
  <c r="B145" i="22" s="1"/>
  <c r="G139" i="37"/>
  <c r="I139" i="37" s="1"/>
  <c r="H147" i="3"/>
  <c r="D148" i="3"/>
  <c r="B148" i="3" s="1"/>
  <c r="G147" i="3"/>
  <c r="I147" i="3" s="1"/>
  <c r="F135" i="44"/>
  <c r="H135" i="44" s="1"/>
  <c r="B135" i="44"/>
  <c r="B133" i="46"/>
  <c r="F133" i="46"/>
  <c r="H133" i="46" s="1"/>
  <c r="D139" i="48"/>
  <c r="G138" i="48"/>
  <c r="B134" i="45"/>
  <c r="F134" i="45"/>
  <c r="H134" i="45" s="1"/>
  <c r="F136" i="42"/>
  <c r="E143" i="23"/>
  <c r="F143" i="23" s="1"/>
  <c r="H138" i="49"/>
  <c r="I138" i="49"/>
  <c r="D141" i="47"/>
  <c r="G140" i="47"/>
  <c r="H141" i="28"/>
  <c r="D142" i="28"/>
  <c r="B142" i="28" s="1"/>
  <c r="G141" i="28"/>
  <c r="I141" i="28" s="1"/>
  <c r="E139" i="49"/>
  <c r="F139" i="49" s="1"/>
  <c r="B139" i="49"/>
  <c r="H139" i="37" l="1"/>
  <c r="D149" i="5"/>
  <c r="G148" i="5"/>
  <c r="I148" i="5" s="1"/>
  <c r="E149" i="5"/>
  <c r="F149" i="5" s="1"/>
  <c r="J147" i="5"/>
  <c r="B148" i="5"/>
  <c r="H148" i="5"/>
  <c r="B137" i="38"/>
  <c r="F137" i="38"/>
  <c r="H137" i="38" s="1"/>
  <c r="E145" i="24"/>
  <c r="F145" i="24" s="1"/>
  <c r="H145" i="24" s="1"/>
  <c r="G150" i="7"/>
  <c r="I150" i="7" s="1"/>
  <c r="D151" i="7"/>
  <c r="B150" i="7"/>
  <c r="H150" i="7"/>
  <c r="J149" i="7"/>
  <c r="D148" i="8"/>
  <c r="B148" i="8" s="1"/>
  <c r="G147" i="8"/>
  <c r="I147" i="8" s="1"/>
  <c r="B147" i="8"/>
  <c r="H147" i="8"/>
  <c r="J144" i="4"/>
  <c r="B149" i="9"/>
  <c r="E149" i="9"/>
  <c r="F149" i="9" s="1"/>
  <c r="G145" i="4"/>
  <c r="I145" i="4" s="1"/>
  <c r="D146" i="4"/>
  <c r="B146" i="4" s="1"/>
  <c r="B145" i="4"/>
  <c r="H145" i="4"/>
  <c r="G143" i="27"/>
  <c r="I143" i="27" s="1"/>
  <c r="D144" i="27"/>
  <c r="E144" i="27" s="1"/>
  <c r="F144" i="27" s="1"/>
  <c r="D140" i="30"/>
  <c r="E140" i="30" s="1"/>
  <c r="F140" i="30" s="1"/>
  <c r="H140" i="30" s="1"/>
  <c r="H143" i="27"/>
  <c r="G139" i="30"/>
  <c r="I139" i="30" s="1"/>
  <c r="J139" i="30" s="1"/>
  <c r="G151" i="10"/>
  <c r="I151" i="10" s="1"/>
  <c r="D152" i="10"/>
  <c r="E152" i="10" s="1"/>
  <c r="F152" i="10" s="1"/>
  <c r="H148" i="11"/>
  <c r="G148" i="11"/>
  <c r="I148" i="11" s="1"/>
  <c r="D149" i="11"/>
  <c r="B139" i="39"/>
  <c r="B151" i="10"/>
  <c r="H151" i="10"/>
  <c r="J150" i="10"/>
  <c r="F136" i="43"/>
  <c r="H136" i="43" s="1"/>
  <c r="B136" i="43"/>
  <c r="E137" i="41"/>
  <c r="G136" i="41"/>
  <c r="I136" i="41" s="1"/>
  <c r="D137" i="41"/>
  <c r="G144" i="25"/>
  <c r="I144" i="25" s="1"/>
  <c r="D145" i="25"/>
  <c r="E145" i="25" s="1"/>
  <c r="F145" i="25" s="1"/>
  <c r="B144" i="25"/>
  <c r="H144" i="25"/>
  <c r="J147" i="6"/>
  <c r="G140" i="31"/>
  <c r="I140" i="31" s="1"/>
  <c r="D141" i="31"/>
  <c r="E141" i="31" s="1"/>
  <c r="F141" i="31" s="1"/>
  <c r="B140" i="31"/>
  <c r="H140" i="31"/>
  <c r="B148" i="6"/>
  <c r="E148" i="6"/>
  <c r="F148" i="6" s="1"/>
  <c r="H148" i="6" s="1"/>
  <c r="J139" i="31"/>
  <c r="G140" i="29"/>
  <c r="I140" i="29" s="1"/>
  <c r="D141" i="29"/>
  <c r="E141" i="29" s="1"/>
  <c r="F141" i="29" s="1"/>
  <c r="B140" i="29"/>
  <c r="H140" i="29"/>
  <c r="J139" i="29"/>
  <c r="E145" i="22"/>
  <c r="F145" i="22" s="1"/>
  <c r="G145" i="22" s="1"/>
  <c r="I145" i="22" s="1"/>
  <c r="J147" i="3"/>
  <c r="E148" i="3"/>
  <c r="F148" i="3" s="1"/>
  <c r="G148" i="3" s="1"/>
  <c r="I148" i="3" s="1"/>
  <c r="E142" i="28"/>
  <c r="F142" i="28" s="1"/>
  <c r="G142" i="28" s="1"/>
  <c r="I142" i="28" s="1"/>
  <c r="G140" i="37"/>
  <c r="I140" i="37" s="1"/>
  <c r="D141" i="37"/>
  <c r="B140" i="37"/>
  <c r="H140" i="37"/>
  <c r="J141" i="28"/>
  <c r="E139" i="40"/>
  <c r="F139" i="40" s="1"/>
  <c r="G139" i="40" s="1"/>
  <c r="I139" i="40" s="1"/>
  <c r="H139" i="39"/>
  <c r="G139" i="39"/>
  <c r="I139" i="39" s="1"/>
  <c r="D140" i="39"/>
  <c r="B140" i="39" s="1"/>
  <c r="I138" i="48"/>
  <c r="H138" i="48"/>
  <c r="H136" i="42"/>
  <c r="G136" i="42"/>
  <c r="I136" i="42" s="1"/>
  <c r="D137" i="42"/>
  <c r="B137" i="42" s="1"/>
  <c r="E137" i="42"/>
  <c r="H143" i="23"/>
  <c r="G143" i="23"/>
  <c r="I143" i="23" s="1"/>
  <c r="D144" i="23"/>
  <c r="B144" i="23" s="1"/>
  <c r="E139" i="48"/>
  <c r="F139" i="48" s="1"/>
  <c r="B139" i="48"/>
  <c r="I140" i="47"/>
  <c r="H140" i="47"/>
  <c r="E135" i="45"/>
  <c r="G134" i="45"/>
  <c r="I134" i="45" s="1"/>
  <c r="D135" i="45"/>
  <c r="D140" i="49"/>
  <c r="G139" i="49"/>
  <c r="E141" i="47"/>
  <c r="F141" i="47" s="1"/>
  <c r="B141" i="47"/>
  <c r="G133" i="46"/>
  <c r="I133" i="46" s="1"/>
  <c r="D134" i="46"/>
  <c r="E134" i="46"/>
  <c r="G135" i="44"/>
  <c r="I135" i="44" s="1"/>
  <c r="D136" i="44"/>
  <c r="E136" i="44"/>
  <c r="G149" i="5" l="1"/>
  <c r="I149" i="5" s="1"/>
  <c r="D150" i="5"/>
  <c r="J148" i="5"/>
  <c r="B149" i="5"/>
  <c r="H149" i="5"/>
  <c r="D146" i="24"/>
  <c r="D138" i="38"/>
  <c r="G137" i="38"/>
  <c r="I137" i="38" s="1"/>
  <c r="E138" i="38"/>
  <c r="G145" i="24"/>
  <c r="I145" i="24" s="1"/>
  <c r="B140" i="30"/>
  <c r="J150" i="7"/>
  <c r="J151" i="10"/>
  <c r="J145" i="4"/>
  <c r="B151" i="7"/>
  <c r="E148" i="8"/>
  <c r="F148" i="8" s="1"/>
  <c r="E151" i="7"/>
  <c r="F151" i="7" s="1"/>
  <c r="H151" i="7" s="1"/>
  <c r="H145" i="22"/>
  <c r="D143" i="28"/>
  <c r="B143" i="28" s="1"/>
  <c r="J147" i="8"/>
  <c r="D150" i="9"/>
  <c r="B150" i="9" s="1"/>
  <c r="H149" i="9"/>
  <c r="G149" i="9"/>
  <c r="I149" i="9" s="1"/>
  <c r="E146" i="4"/>
  <c r="F146" i="4" s="1"/>
  <c r="D145" i="27"/>
  <c r="E145" i="27" s="1"/>
  <c r="F145" i="27" s="1"/>
  <c r="G144" i="27"/>
  <c r="I144" i="27" s="1"/>
  <c r="B144" i="27"/>
  <c r="H144" i="27"/>
  <c r="J143" i="27"/>
  <c r="H148" i="3"/>
  <c r="J148" i="3" s="1"/>
  <c r="B149" i="11"/>
  <c r="E149" i="11"/>
  <c r="F149" i="11" s="1"/>
  <c r="G152" i="10"/>
  <c r="I152" i="10" s="1"/>
  <c r="D153" i="10"/>
  <c r="E153" i="10" s="1"/>
  <c r="F153" i="10" s="1"/>
  <c r="B152" i="10"/>
  <c r="H152" i="10"/>
  <c r="D149" i="3"/>
  <c r="B149" i="3" s="1"/>
  <c r="B137" i="41"/>
  <c r="F137" i="41"/>
  <c r="H137" i="41" s="1"/>
  <c r="E137" i="43"/>
  <c r="G136" i="43"/>
  <c r="I136" i="43" s="1"/>
  <c r="D137" i="43"/>
  <c r="B146" i="24"/>
  <c r="E146" i="24"/>
  <c r="F146" i="24" s="1"/>
  <c r="H146" i="24" s="1"/>
  <c r="H139" i="40"/>
  <c r="D146" i="25"/>
  <c r="G145" i="25"/>
  <c r="I145" i="25" s="1"/>
  <c r="B145" i="25"/>
  <c r="H145" i="25"/>
  <c r="G141" i="31"/>
  <c r="I141" i="31" s="1"/>
  <c r="D142" i="31"/>
  <c r="E142" i="31" s="1"/>
  <c r="F142" i="31" s="1"/>
  <c r="G148" i="6"/>
  <c r="I148" i="6" s="1"/>
  <c r="J148" i="6" s="1"/>
  <c r="D149" i="6"/>
  <c r="B141" i="31"/>
  <c r="H141" i="31"/>
  <c r="J140" i="31"/>
  <c r="J140" i="29"/>
  <c r="G141" i="29"/>
  <c r="I141" i="29" s="1"/>
  <c r="D142" i="29"/>
  <c r="E142" i="29" s="1"/>
  <c r="F142" i="29" s="1"/>
  <c r="B141" i="29"/>
  <c r="H141" i="29"/>
  <c r="H142" i="28"/>
  <c r="J142" i="28" s="1"/>
  <c r="D146" i="22"/>
  <c r="B146" i="22" s="1"/>
  <c r="F137" i="42"/>
  <c r="H137" i="42" s="1"/>
  <c r="D140" i="40"/>
  <c r="B140" i="40" s="1"/>
  <c r="E144" i="23"/>
  <c r="F144" i="23" s="1"/>
  <c r="G144" i="23" s="1"/>
  <c r="I144" i="23" s="1"/>
  <c r="E140" i="39"/>
  <c r="F140" i="39" s="1"/>
  <c r="H140" i="39" s="1"/>
  <c r="G140" i="30"/>
  <c r="I140" i="30" s="1"/>
  <c r="J140" i="30" s="1"/>
  <c r="D141" i="30"/>
  <c r="B141" i="37"/>
  <c r="E141" i="37"/>
  <c r="F141" i="37" s="1"/>
  <c r="B136" i="44"/>
  <c r="F136" i="44"/>
  <c r="H136" i="44" s="1"/>
  <c r="E143" i="28"/>
  <c r="F143" i="28" s="1"/>
  <c r="D142" i="47"/>
  <c r="B142" i="47" s="1"/>
  <c r="G141" i="47"/>
  <c r="E140" i="49"/>
  <c r="F140" i="49" s="1"/>
  <c r="B140" i="49"/>
  <c r="D140" i="48"/>
  <c r="G139" i="48"/>
  <c r="F134" i="46"/>
  <c r="H134" i="46" s="1"/>
  <c r="B134" i="46"/>
  <c r="I139" i="49"/>
  <c r="H139" i="49"/>
  <c r="B135" i="45"/>
  <c r="F135" i="45"/>
  <c r="B150" i="5" l="1"/>
  <c r="J149" i="5"/>
  <c r="E150" i="5"/>
  <c r="F150" i="5" s="1"/>
  <c r="B138" i="38"/>
  <c r="F138" i="38"/>
  <c r="H138" i="38"/>
  <c r="D152" i="7"/>
  <c r="E152" i="7" s="1"/>
  <c r="F152" i="7" s="1"/>
  <c r="G151" i="7"/>
  <c r="I151" i="7" s="1"/>
  <c r="J151" i="7" s="1"/>
  <c r="G148" i="8"/>
  <c r="I148" i="8" s="1"/>
  <c r="D149" i="8"/>
  <c r="H148" i="8"/>
  <c r="E150" i="9"/>
  <c r="F150" i="9" s="1"/>
  <c r="H146" i="4"/>
  <c r="G146" i="4"/>
  <c r="I146" i="4" s="1"/>
  <c r="D147" i="4"/>
  <c r="D138" i="42"/>
  <c r="B138" i="42" s="1"/>
  <c r="G137" i="42"/>
  <c r="I137" i="42" s="1"/>
  <c r="G145" i="27"/>
  <c r="I145" i="27" s="1"/>
  <c r="D146" i="27"/>
  <c r="E146" i="27" s="1"/>
  <c r="F146" i="27" s="1"/>
  <c r="J144" i="27"/>
  <c r="B145" i="27"/>
  <c r="H145" i="27"/>
  <c r="J152" i="10"/>
  <c r="G149" i="11"/>
  <c r="I149" i="11" s="1"/>
  <c r="D150" i="11"/>
  <c r="E150" i="11" s="1"/>
  <c r="F150" i="11" s="1"/>
  <c r="H149" i="11"/>
  <c r="D154" i="10"/>
  <c r="G153" i="10"/>
  <c r="I153" i="10" s="1"/>
  <c r="E149" i="3"/>
  <c r="F149" i="3" s="1"/>
  <c r="B153" i="10"/>
  <c r="H153" i="10"/>
  <c r="H144" i="23"/>
  <c r="E140" i="40"/>
  <c r="F140" i="40" s="1"/>
  <c r="H140" i="40" s="1"/>
  <c r="B137" i="43"/>
  <c r="F137" i="43"/>
  <c r="H137" i="43" s="1"/>
  <c r="D138" i="41"/>
  <c r="E138" i="41" s="1"/>
  <c r="F138" i="41" s="1"/>
  <c r="G137" i="41"/>
  <c r="I137" i="41" s="1"/>
  <c r="D147" i="24"/>
  <c r="G146" i="24"/>
  <c r="I146" i="24" s="1"/>
  <c r="B146" i="25"/>
  <c r="E146" i="25"/>
  <c r="F146" i="25" s="1"/>
  <c r="H146" i="25" s="1"/>
  <c r="D141" i="39"/>
  <c r="B141" i="39" s="1"/>
  <c r="G140" i="39"/>
  <c r="I140" i="39" s="1"/>
  <c r="E146" i="22"/>
  <c r="F146" i="22" s="1"/>
  <c r="H146" i="22" s="1"/>
  <c r="G142" i="31"/>
  <c r="I142" i="31" s="1"/>
  <c r="D143" i="31"/>
  <c r="E143" i="31" s="1"/>
  <c r="F143" i="31" s="1"/>
  <c r="B149" i="6"/>
  <c r="B142" i="31"/>
  <c r="H142" i="31"/>
  <c r="E149" i="6"/>
  <c r="F149" i="6" s="1"/>
  <c r="H149" i="6" s="1"/>
  <c r="J141" i="31"/>
  <c r="G142" i="29"/>
  <c r="I142" i="29" s="1"/>
  <c r="D143" i="29"/>
  <c r="E143" i="29" s="1"/>
  <c r="F143" i="29" s="1"/>
  <c r="B142" i="29"/>
  <c r="H142" i="29"/>
  <c r="J141" i="29"/>
  <c r="B141" i="30"/>
  <c r="D145" i="23"/>
  <c r="B145" i="23" s="1"/>
  <c r="G141" i="37"/>
  <c r="I141" i="37" s="1"/>
  <c r="D142" i="37"/>
  <c r="E142" i="37" s="1"/>
  <c r="F142" i="37" s="1"/>
  <c r="H141" i="37"/>
  <c r="E141" i="30"/>
  <c r="F141" i="30" s="1"/>
  <c r="G136" i="44"/>
  <c r="I136" i="44" s="1"/>
  <c r="D137" i="44"/>
  <c r="E137" i="44"/>
  <c r="H135" i="45"/>
  <c r="G135" i="45"/>
  <c r="I135" i="45" s="1"/>
  <c r="D136" i="45"/>
  <c r="E136" i="45"/>
  <c r="D141" i="49"/>
  <c r="G140" i="49"/>
  <c r="D141" i="40"/>
  <c r="B141" i="40" s="1"/>
  <c r="G134" i="46"/>
  <c r="I134" i="46" s="1"/>
  <c r="D135" i="46"/>
  <c r="E135" i="46"/>
  <c r="H139" i="48"/>
  <c r="I139" i="48"/>
  <c r="E142" i="47"/>
  <c r="F142" i="47" s="1"/>
  <c r="H143" i="28"/>
  <c r="G143" i="28"/>
  <c r="I143" i="28" s="1"/>
  <c r="D144" i="28"/>
  <c r="B144" i="28" s="1"/>
  <c r="E140" i="48"/>
  <c r="F140" i="48" s="1"/>
  <c r="B140" i="48"/>
  <c r="H141" i="47"/>
  <c r="I141" i="47"/>
  <c r="E138" i="42" l="1"/>
  <c r="F138" i="42" s="1"/>
  <c r="G146" i="22"/>
  <c r="I146" i="22" s="1"/>
  <c r="D151" i="5"/>
  <c r="E151" i="5" s="1"/>
  <c r="F151" i="5" s="1"/>
  <c r="G150" i="5"/>
  <c r="I150" i="5" s="1"/>
  <c r="H150" i="5"/>
  <c r="J148" i="8"/>
  <c r="G140" i="40"/>
  <c r="I140" i="40" s="1"/>
  <c r="G138" i="38"/>
  <c r="I138" i="38" s="1"/>
  <c r="D139" i="38"/>
  <c r="E139" i="38" s="1"/>
  <c r="F139" i="38" s="1"/>
  <c r="G152" i="7"/>
  <c r="I152" i="7" s="1"/>
  <c r="D153" i="7"/>
  <c r="E153" i="7" s="1"/>
  <c r="F153" i="7" s="1"/>
  <c r="E149" i="8"/>
  <c r="F149" i="8" s="1"/>
  <c r="B149" i="8"/>
  <c r="B152" i="7"/>
  <c r="H152" i="7"/>
  <c r="J152" i="7" s="1"/>
  <c r="D147" i="22"/>
  <c r="B147" i="22" s="1"/>
  <c r="H150" i="9"/>
  <c r="D151" i="9"/>
  <c r="E151" i="9" s="1"/>
  <c r="F151" i="9" s="1"/>
  <c r="G150" i="9"/>
  <c r="I150" i="9" s="1"/>
  <c r="E147" i="4"/>
  <c r="F147" i="4" s="1"/>
  <c r="B147" i="4"/>
  <c r="J146" i="4"/>
  <c r="J145" i="27"/>
  <c r="G146" i="27"/>
  <c r="I146" i="27" s="1"/>
  <c r="D147" i="27"/>
  <c r="B147" i="27" s="1"/>
  <c r="B146" i="27"/>
  <c r="H146" i="27"/>
  <c r="J153" i="10"/>
  <c r="G149" i="3"/>
  <c r="I149" i="3" s="1"/>
  <c r="D150" i="3"/>
  <c r="E150" i="3" s="1"/>
  <c r="F150" i="3" s="1"/>
  <c r="D151" i="11"/>
  <c r="G150" i="11"/>
  <c r="I150" i="11" s="1"/>
  <c r="B150" i="11"/>
  <c r="H150" i="11"/>
  <c r="B154" i="10"/>
  <c r="E154" i="10"/>
  <c r="H149" i="3"/>
  <c r="G138" i="41"/>
  <c r="I138" i="41" s="1"/>
  <c r="D139" i="41"/>
  <c r="D138" i="43"/>
  <c r="E138" i="43" s="1"/>
  <c r="F138" i="43" s="1"/>
  <c r="G137" i="43"/>
  <c r="I137" i="43" s="1"/>
  <c r="B138" i="41"/>
  <c r="H138" i="41"/>
  <c r="E141" i="39"/>
  <c r="F141" i="39" s="1"/>
  <c r="D142" i="39" s="1"/>
  <c r="B142" i="39" s="1"/>
  <c r="B147" i="24"/>
  <c r="E147" i="24"/>
  <c r="F147" i="24" s="1"/>
  <c r="H147" i="24" s="1"/>
  <c r="G146" i="25"/>
  <c r="I146" i="25" s="1"/>
  <c r="D147" i="25"/>
  <c r="E147" i="25" s="1"/>
  <c r="F147" i="25" s="1"/>
  <c r="D144" i="31"/>
  <c r="B144" i="31" s="1"/>
  <c r="G143" i="31"/>
  <c r="I143" i="31" s="1"/>
  <c r="B143" i="31"/>
  <c r="H143" i="31"/>
  <c r="G149" i="6"/>
  <c r="I149" i="6" s="1"/>
  <c r="J149" i="6" s="1"/>
  <c r="D150" i="6"/>
  <c r="B150" i="6" s="1"/>
  <c r="J142" i="31"/>
  <c r="D144" i="29"/>
  <c r="E144" i="29" s="1"/>
  <c r="F144" i="29" s="1"/>
  <c r="G143" i="29"/>
  <c r="I143" i="29" s="1"/>
  <c r="B143" i="29"/>
  <c r="H143" i="29"/>
  <c r="J142" i="29"/>
  <c r="D143" i="37"/>
  <c r="E143" i="37" s="1"/>
  <c r="F143" i="37" s="1"/>
  <c r="G142" i="37"/>
  <c r="I142" i="37" s="1"/>
  <c r="G141" i="30"/>
  <c r="I141" i="30" s="1"/>
  <c r="D142" i="30"/>
  <c r="E142" i="30" s="1"/>
  <c r="F142" i="30" s="1"/>
  <c r="J143" i="28"/>
  <c r="B142" i="37"/>
  <c r="H142" i="37"/>
  <c r="E145" i="23"/>
  <c r="F145" i="23" s="1"/>
  <c r="H141" i="30"/>
  <c r="G140" i="48"/>
  <c r="D141" i="48"/>
  <c r="E144" i="28"/>
  <c r="F144" i="28" s="1"/>
  <c r="E141" i="40"/>
  <c r="F141" i="40" s="1"/>
  <c r="B136" i="45"/>
  <c r="F136" i="45"/>
  <c r="H136" i="45" s="1"/>
  <c r="B137" i="44"/>
  <c r="F137" i="44"/>
  <c r="H137" i="44" s="1"/>
  <c r="H138" i="42"/>
  <c r="D139" i="42"/>
  <c r="E139" i="42" s="1"/>
  <c r="G138" i="42"/>
  <c r="I138" i="42" s="1"/>
  <c r="F135" i="46"/>
  <c r="H135" i="46" s="1"/>
  <c r="B135" i="46"/>
  <c r="H140" i="49"/>
  <c r="I140" i="49"/>
  <c r="D143" i="47"/>
  <c r="G142" i="47"/>
  <c r="E141" i="49"/>
  <c r="F141" i="49" s="1"/>
  <c r="B141" i="49"/>
  <c r="D152" i="5" l="1"/>
  <c r="E152" i="5" s="1"/>
  <c r="F152" i="5" s="1"/>
  <c r="G151" i="5"/>
  <c r="I151" i="5" s="1"/>
  <c r="J150" i="5"/>
  <c r="B151" i="5"/>
  <c r="H151" i="5"/>
  <c r="G139" i="38"/>
  <c r="I139" i="38" s="1"/>
  <c r="D140" i="38"/>
  <c r="B139" i="38"/>
  <c r="H139" i="38"/>
  <c r="G141" i="39"/>
  <c r="I141" i="39" s="1"/>
  <c r="E147" i="22"/>
  <c r="F147" i="22" s="1"/>
  <c r="G153" i="7"/>
  <c r="I153" i="7" s="1"/>
  <c r="D154" i="7"/>
  <c r="E154" i="7" s="1"/>
  <c r="E155" i="7" s="1"/>
  <c r="G149" i="8"/>
  <c r="I149" i="8" s="1"/>
  <c r="D150" i="8"/>
  <c r="B150" i="8" s="1"/>
  <c r="H149" i="8"/>
  <c r="B153" i="7"/>
  <c r="H153" i="7"/>
  <c r="D152" i="9"/>
  <c r="B152" i="9" s="1"/>
  <c r="G151" i="9"/>
  <c r="I151" i="9" s="1"/>
  <c r="B151" i="9"/>
  <c r="H151" i="9"/>
  <c r="G147" i="4"/>
  <c r="I147" i="4" s="1"/>
  <c r="D148" i="4"/>
  <c r="H147" i="4"/>
  <c r="E147" i="27"/>
  <c r="F147" i="27" s="1"/>
  <c r="J146" i="27"/>
  <c r="H141" i="39"/>
  <c r="B151" i="11"/>
  <c r="E155" i="10"/>
  <c r="F154" i="10"/>
  <c r="G154" i="10" s="1"/>
  <c r="B150" i="3"/>
  <c r="H150" i="3"/>
  <c r="D151" i="3"/>
  <c r="G150" i="3"/>
  <c r="I150" i="3" s="1"/>
  <c r="E151" i="11"/>
  <c r="F151" i="11" s="1"/>
  <c r="H151" i="11" s="1"/>
  <c r="J149" i="3"/>
  <c r="B138" i="43"/>
  <c r="H138" i="43"/>
  <c r="D139" i="43"/>
  <c r="G138" i="43"/>
  <c r="I138" i="43" s="1"/>
  <c r="E139" i="41"/>
  <c r="F139" i="41" s="1"/>
  <c r="B139" i="41"/>
  <c r="D148" i="24"/>
  <c r="E148" i="24" s="1"/>
  <c r="F148" i="24" s="1"/>
  <c r="G147" i="24"/>
  <c r="I147" i="24" s="1"/>
  <c r="G147" i="25"/>
  <c r="I147" i="25" s="1"/>
  <c r="D148" i="25"/>
  <c r="E148" i="25" s="1"/>
  <c r="F148" i="25" s="1"/>
  <c r="B147" i="25"/>
  <c r="H147" i="25"/>
  <c r="E144" i="31"/>
  <c r="F144" i="31" s="1"/>
  <c r="E150" i="6"/>
  <c r="F150" i="6" s="1"/>
  <c r="J143" i="31"/>
  <c r="D145" i="29"/>
  <c r="G144" i="29"/>
  <c r="I144" i="29" s="1"/>
  <c r="J143" i="29"/>
  <c r="B144" i="29"/>
  <c r="H144" i="29"/>
  <c r="J141" i="30"/>
  <c r="D144" i="37"/>
  <c r="B144" i="37" s="1"/>
  <c r="G143" i="37"/>
  <c r="I143" i="37" s="1"/>
  <c r="H145" i="23"/>
  <c r="D146" i="23"/>
  <c r="E146" i="23" s="1"/>
  <c r="F146" i="23" s="1"/>
  <c r="G145" i="23"/>
  <c r="I145" i="23" s="1"/>
  <c r="G142" i="30"/>
  <c r="I142" i="30" s="1"/>
  <c r="D143" i="30"/>
  <c r="B142" i="30"/>
  <c r="H142" i="30"/>
  <c r="B143" i="37"/>
  <c r="H143" i="37"/>
  <c r="D142" i="49"/>
  <c r="G141" i="49"/>
  <c r="H141" i="40"/>
  <c r="G141" i="40"/>
  <c r="I141" i="40" s="1"/>
  <c r="D142" i="40"/>
  <c r="B142" i="40" s="1"/>
  <c r="H147" i="22"/>
  <c r="G147" i="22"/>
  <c r="I147" i="22" s="1"/>
  <c r="D148" i="22"/>
  <c r="B148" i="22" s="1"/>
  <c r="G136" i="45"/>
  <c r="I136" i="45" s="1"/>
  <c r="D137" i="45"/>
  <c r="E137" i="45"/>
  <c r="E142" i="39"/>
  <c r="F142" i="39" s="1"/>
  <c r="H142" i="47"/>
  <c r="I142" i="47"/>
  <c r="B139" i="42"/>
  <c r="F139" i="42"/>
  <c r="H139" i="42" s="1"/>
  <c r="D138" i="44"/>
  <c r="G137" i="44"/>
  <c r="I137" i="44" s="1"/>
  <c r="E138" i="44"/>
  <c r="E141" i="48"/>
  <c r="F141" i="48" s="1"/>
  <c r="B141" i="48"/>
  <c r="E143" i="47"/>
  <c r="F143" i="47" s="1"/>
  <c r="B143" i="47"/>
  <c r="D136" i="46"/>
  <c r="G135" i="46"/>
  <c r="I135" i="46" s="1"/>
  <c r="E136" i="46"/>
  <c r="H144" i="28"/>
  <c r="G144" i="28"/>
  <c r="I144" i="28" s="1"/>
  <c r="D145" i="28"/>
  <c r="B145" i="28" s="1"/>
  <c r="I140" i="48"/>
  <c r="H140" i="48"/>
  <c r="J151" i="5" l="1"/>
  <c r="G152" i="5"/>
  <c r="I152" i="5" s="1"/>
  <c r="D153" i="5"/>
  <c r="B153" i="5" s="1"/>
  <c r="E153" i="5"/>
  <c r="F153" i="5" s="1"/>
  <c r="D154" i="5" s="1"/>
  <c r="E154" i="5" s="1"/>
  <c r="E155" i="5" s="1"/>
  <c r="B152" i="5"/>
  <c r="H152" i="5"/>
  <c r="E140" i="38"/>
  <c r="F140" i="38" s="1"/>
  <c r="H140" i="38" s="1"/>
  <c r="B140" i="38"/>
  <c r="B154" i="7"/>
  <c r="F154" i="7"/>
  <c r="G154" i="7" s="1"/>
  <c r="J153" i="7"/>
  <c r="E150" i="8"/>
  <c r="F150" i="8" s="1"/>
  <c r="J149" i="8"/>
  <c r="E152" i="9"/>
  <c r="F152" i="9" s="1"/>
  <c r="J147" i="4"/>
  <c r="B148" i="4"/>
  <c r="E148" i="4"/>
  <c r="F148" i="4" s="1"/>
  <c r="G147" i="27"/>
  <c r="I147" i="27" s="1"/>
  <c r="D148" i="27"/>
  <c r="H147" i="27"/>
  <c r="J150" i="3"/>
  <c r="I154" i="10"/>
  <c r="H154" i="10"/>
  <c r="H155" i="10" s="1"/>
  <c r="B151" i="3"/>
  <c r="E151" i="3"/>
  <c r="F151" i="3" s="1"/>
  <c r="G151" i="11"/>
  <c r="I151" i="11" s="1"/>
  <c r="D152" i="11"/>
  <c r="E152" i="11" s="1"/>
  <c r="F152" i="11" s="1"/>
  <c r="D140" i="41"/>
  <c r="B140" i="41" s="1"/>
  <c r="G139" i="41"/>
  <c r="I139" i="41" s="1"/>
  <c r="B139" i="43"/>
  <c r="H139" i="41"/>
  <c r="E139" i="43"/>
  <c r="F139" i="43" s="1"/>
  <c r="H139" i="43" s="1"/>
  <c r="G148" i="24"/>
  <c r="I148" i="24" s="1"/>
  <c r="D149" i="24"/>
  <c r="B148" i="24"/>
  <c r="H148" i="24"/>
  <c r="G148" i="25"/>
  <c r="I148" i="25" s="1"/>
  <c r="D149" i="25"/>
  <c r="B148" i="25"/>
  <c r="H148" i="25"/>
  <c r="H144" i="31"/>
  <c r="G144" i="31"/>
  <c r="I144" i="31" s="1"/>
  <c r="D145" i="31"/>
  <c r="H150" i="6"/>
  <c r="G150" i="6"/>
  <c r="I150" i="6" s="1"/>
  <c r="D151" i="6"/>
  <c r="E151" i="6" s="1"/>
  <c r="F151" i="6" s="1"/>
  <c r="B145" i="29"/>
  <c r="E145" i="29"/>
  <c r="F145" i="29" s="1"/>
  <c r="J144" i="29"/>
  <c r="E144" i="37"/>
  <c r="F144" i="37" s="1"/>
  <c r="J144" i="28"/>
  <c r="G146" i="23"/>
  <c r="I146" i="23" s="1"/>
  <c r="D147" i="23"/>
  <c r="E147" i="23" s="1"/>
  <c r="F147" i="23" s="1"/>
  <c r="B143" i="30"/>
  <c r="E143" i="30"/>
  <c r="F143" i="30" s="1"/>
  <c r="J142" i="30"/>
  <c r="B146" i="23"/>
  <c r="H146" i="23"/>
  <c r="D144" i="47"/>
  <c r="G143" i="47"/>
  <c r="H142" i="39"/>
  <c r="D143" i="39"/>
  <c r="B143" i="39" s="1"/>
  <c r="G142" i="39"/>
  <c r="I142" i="39" s="1"/>
  <c r="E148" i="22"/>
  <c r="F148" i="22" s="1"/>
  <c r="E142" i="40"/>
  <c r="F142" i="40" s="1"/>
  <c r="E145" i="28"/>
  <c r="F145" i="28" s="1"/>
  <c r="G139" i="42"/>
  <c r="I139" i="42" s="1"/>
  <c r="D140" i="42"/>
  <c r="B140" i="42" s="1"/>
  <c r="B136" i="46"/>
  <c r="F136" i="46"/>
  <c r="H136" i="46" s="1"/>
  <c r="D142" i="48"/>
  <c r="G141" i="48"/>
  <c r="B137" i="45"/>
  <c r="F137" i="45"/>
  <c r="I141" i="49"/>
  <c r="H141" i="49"/>
  <c r="B138" i="44"/>
  <c r="F138" i="44"/>
  <c r="H138" i="44" s="1"/>
  <c r="G153" i="5"/>
  <c r="I153" i="5" s="1"/>
  <c r="E142" i="49"/>
  <c r="F142" i="49" s="1"/>
  <c r="B142" i="49"/>
  <c r="H153" i="5" l="1"/>
  <c r="J152" i="5"/>
  <c r="D141" i="38"/>
  <c r="G140" i="38"/>
  <c r="I140" i="38" s="1"/>
  <c r="H154" i="7"/>
  <c r="H155" i="7" s="1"/>
  <c r="I154" i="7"/>
  <c r="J147" i="27"/>
  <c r="D151" i="8"/>
  <c r="H150" i="8"/>
  <c r="G150" i="8"/>
  <c r="I150" i="8" s="1"/>
  <c r="H152" i="9"/>
  <c r="D153" i="9"/>
  <c r="G152" i="9"/>
  <c r="I152" i="9" s="1"/>
  <c r="H148" i="4"/>
  <c r="G148" i="4"/>
  <c r="I148" i="4" s="1"/>
  <c r="D149" i="4"/>
  <c r="B148" i="27"/>
  <c r="E148" i="27"/>
  <c r="F148" i="27" s="1"/>
  <c r="D153" i="11"/>
  <c r="E153" i="11" s="1"/>
  <c r="F153" i="11" s="1"/>
  <c r="G152" i="11"/>
  <c r="I152" i="11" s="1"/>
  <c r="H151" i="3"/>
  <c r="G151" i="3"/>
  <c r="I151" i="3" s="1"/>
  <c r="D152" i="3"/>
  <c r="B152" i="3" s="1"/>
  <c r="B152" i="11"/>
  <c r="H152" i="11"/>
  <c r="I155" i="10"/>
  <c r="J154" i="10"/>
  <c r="J155" i="10" s="1"/>
  <c r="G139" i="43"/>
  <c r="I139" i="43" s="1"/>
  <c r="D140" i="43"/>
  <c r="E140" i="43" s="1"/>
  <c r="F140" i="43" s="1"/>
  <c r="E140" i="41"/>
  <c r="F140" i="41" s="1"/>
  <c r="J150" i="6"/>
  <c r="J144" i="31"/>
  <c r="B149" i="24"/>
  <c r="E149" i="24"/>
  <c r="F149" i="24" s="1"/>
  <c r="B149" i="25"/>
  <c r="E149" i="25"/>
  <c r="F149" i="25" s="1"/>
  <c r="E145" i="31"/>
  <c r="F145" i="31" s="1"/>
  <c r="H145" i="31" s="1"/>
  <c r="B145" i="31"/>
  <c r="D152" i="6"/>
  <c r="E152" i="6" s="1"/>
  <c r="F152" i="6" s="1"/>
  <c r="G151" i="6"/>
  <c r="I151" i="6" s="1"/>
  <c r="B151" i="6"/>
  <c r="H151" i="6"/>
  <c r="D146" i="29"/>
  <c r="H145" i="29"/>
  <c r="G145" i="29"/>
  <c r="I145" i="29" s="1"/>
  <c r="D145" i="37"/>
  <c r="H144" i="37"/>
  <c r="G144" i="37"/>
  <c r="I144" i="37" s="1"/>
  <c r="D148" i="23"/>
  <c r="B148" i="23" s="1"/>
  <c r="G147" i="23"/>
  <c r="I147" i="23" s="1"/>
  <c r="D144" i="30"/>
  <c r="E144" i="30" s="1"/>
  <c r="F144" i="30" s="1"/>
  <c r="G143" i="30"/>
  <c r="I143" i="30" s="1"/>
  <c r="H143" i="30"/>
  <c r="B147" i="23"/>
  <c r="H147" i="23"/>
  <c r="J153" i="5"/>
  <c r="D143" i="49"/>
  <c r="G142" i="49"/>
  <c r="B154" i="5"/>
  <c r="F154" i="5"/>
  <c r="G154" i="5" s="1"/>
  <c r="I154" i="5" s="1"/>
  <c r="E142" i="48"/>
  <c r="F142" i="48" s="1"/>
  <c r="B142" i="48"/>
  <c r="E143" i="39"/>
  <c r="F143" i="39" s="1"/>
  <c r="H145" i="28"/>
  <c r="G145" i="28"/>
  <c r="I145" i="28" s="1"/>
  <c r="D146" i="28"/>
  <c r="B146" i="28" s="1"/>
  <c r="H142" i="40"/>
  <c r="D143" i="40"/>
  <c r="B143" i="40" s="1"/>
  <c r="G142" i="40"/>
  <c r="I142" i="40" s="1"/>
  <c r="H137" i="45"/>
  <c r="G137" i="45"/>
  <c r="I137" i="45" s="1"/>
  <c r="D138" i="45"/>
  <c r="E138" i="45" s="1"/>
  <c r="G136" i="46"/>
  <c r="I136" i="46" s="1"/>
  <c r="D137" i="46"/>
  <c r="E137" i="46"/>
  <c r="E140" i="42"/>
  <c r="F140" i="42" s="1"/>
  <c r="H143" i="47"/>
  <c r="I143" i="47"/>
  <c r="G138" i="44"/>
  <c r="I138" i="44" s="1"/>
  <c r="D139" i="44"/>
  <c r="H141" i="48"/>
  <c r="I141" i="48"/>
  <c r="H148" i="22"/>
  <c r="G148" i="22"/>
  <c r="I148" i="22" s="1"/>
  <c r="D149" i="22"/>
  <c r="B149" i="22" s="1"/>
  <c r="E144" i="47"/>
  <c r="F144" i="47" s="1"/>
  <c r="B144" i="47"/>
  <c r="E141" i="38" l="1"/>
  <c r="F141" i="38" s="1"/>
  <c r="B141" i="38"/>
  <c r="H141" i="38"/>
  <c r="J150" i="8"/>
  <c r="I155" i="7"/>
  <c r="J154" i="7"/>
  <c r="J155" i="7" s="1"/>
  <c r="E151" i="8"/>
  <c r="F151" i="8" s="1"/>
  <c r="B151" i="8"/>
  <c r="E153" i="9"/>
  <c r="F153" i="9" s="1"/>
  <c r="B153" i="9"/>
  <c r="J148" i="4"/>
  <c r="E149" i="4"/>
  <c r="F149" i="4" s="1"/>
  <c r="H149" i="4" s="1"/>
  <c r="B149" i="4"/>
  <c r="G148" i="27"/>
  <c r="I148" i="27" s="1"/>
  <c r="D149" i="27"/>
  <c r="B149" i="27" s="1"/>
  <c r="H148" i="27"/>
  <c r="E152" i="3"/>
  <c r="F152" i="3" s="1"/>
  <c r="D154" i="11"/>
  <c r="E154" i="11" s="1"/>
  <c r="E155" i="11" s="1"/>
  <c r="G153" i="11"/>
  <c r="I153" i="11" s="1"/>
  <c r="J151" i="3"/>
  <c r="B153" i="11"/>
  <c r="H153" i="11"/>
  <c r="G140" i="43"/>
  <c r="I140" i="43" s="1"/>
  <c r="D141" i="43"/>
  <c r="E141" i="43" s="1"/>
  <c r="F141" i="43" s="1"/>
  <c r="H140" i="41"/>
  <c r="G140" i="41"/>
  <c r="I140" i="41" s="1"/>
  <c r="D141" i="41"/>
  <c r="E141" i="41" s="1"/>
  <c r="F141" i="41" s="1"/>
  <c r="B140" i="43"/>
  <c r="H140" i="43"/>
  <c r="H149" i="24"/>
  <c r="G149" i="24"/>
  <c r="I149" i="24" s="1"/>
  <c r="D150" i="24"/>
  <c r="D150" i="25"/>
  <c r="E150" i="25" s="1"/>
  <c r="F150" i="25" s="1"/>
  <c r="G149" i="25"/>
  <c r="I149" i="25" s="1"/>
  <c r="H149" i="25"/>
  <c r="D146" i="31"/>
  <c r="G145" i="31"/>
  <c r="I145" i="31" s="1"/>
  <c r="J145" i="31" s="1"/>
  <c r="G152" i="6"/>
  <c r="I152" i="6" s="1"/>
  <c r="D153" i="6"/>
  <c r="J151" i="6"/>
  <c r="B152" i="6"/>
  <c r="H152" i="6"/>
  <c r="B146" i="29"/>
  <c r="E146" i="29"/>
  <c r="F146" i="29" s="1"/>
  <c r="J145" i="29"/>
  <c r="B145" i="37"/>
  <c r="E145" i="37"/>
  <c r="F145" i="37" s="1"/>
  <c r="H145" i="37" s="1"/>
  <c r="J143" i="30"/>
  <c r="E143" i="40"/>
  <c r="F143" i="40" s="1"/>
  <c r="G143" i="40" s="1"/>
  <c r="I143" i="40" s="1"/>
  <c r="E146" i="28"/>
  <c r="F146" i="28" s="1"/>
  <c r="G146" i="28" s="1"/>
  <c r="I146" i="28" s="1"/>
  <c r="B144" i="30"/>
  <c r="H144" i="30"/>
  <c r="G144" i="30"/>
  <c r="I144" i="30" s="1"/>
  <c r="D145" i="30"/>
  <c r="E145" i="30" s="1"/>
  <c r="F145" i="30" s="1"/>
  <c r="E148" i="23"/>
  <c r="F148" i="23" s="1"/>
  <c r="D145" i="47"/>
  <c r="G144" i="47"/>
  <c r="F137" i="46"/>
  <c r="B137" i="46"/>
  <c r="J145" i="28"/>
  <c r="G142" i="48"/>
  <c r="D143" i="48"/>
  <c r="E149" i="22"/>
  <c r="F149" i="22" s="1"/>
  <c r="E139" i="44"/>
  <c r="F139" i="44" s="1"/>
  <c r="B139" i="44"/>
  <c r="H140" i="42"/>
  <c r="G140" i="42"/>
  <c r="I140" i="42" s="1"/>
  <c r="D141" i="42"/>
  <c r="H143" i="39"/>
  <c r="G143" i="39"/>
  <c r="I143" i="39" s="1"/>
  <c r="D144" i="39"/>
  <c r="B144" i="39" s="1"/>
  <c r="H154" i="5"/>
  <c r="H155" i="5" s="1"/>
  <c r="I142" i="49"/>
  <c r="H142" i="49"/>
  <c r="B138" i="45"/>
  <c r="F138" i="45"/>
  <c r="H138" i="45" s="1"/>
  <c r="I155" i="5"/>
  <c r="E143" i="49"/>
  <c r="F143" i="49" s="1"/>
  <c r="B143" i="49"/>
  <c r="G141" i="38" l="1"/>
  <c r="I141" i="38" s="1"/>
  <c r="D142" i="38"/>
  <c r="E149" i="27"/>
  <c r="F149" i="27" s="1"/>
  <c r="H149" i="27" s="1"/>
  <c r="D152" i="8"/>
  <c r="E152" i="8" s="1"/>
  <c r="F152" i="8" s="1"/>
  <c r="G151" i="8"/>
  <c r="I151" i="8" s="1"/>
  <c r="H151" i="8"/>
  <c r="D154" i="9"/>
  <c r="H153" i="9"/>
  <c r="G153" i="9"/>
  <c r="I153" i="9" s="1"/>
  <c r="D150" i="4"/>
  <c r="E150" i="4" s="1"/>
  <c r="F150" i="4" s="1"/>
  <c r="G149" i="4"/>
  <c r="I149" i="4" s="1"/>
  <c r="J149" i="4" s="1"/>
  <c r="J148" i="27"/>
  <c r="B154" i="11"/>
  <c r="F154" i="11"/>
  <c r="G154" i="11" s="1"/>
  <c r="H152" i="3"/>
  <c r="G152" i="3"/>
  <c r="I152" i="3" s="1"/>
  <c r="D153" i="3"/>
  <c r="D147" i="28"/>
  <c r="B147" i="28" s="1"/>
  <c r="G141" i="43"/>
  <c r="I141" i="43" s="1"/>
  <c r="D142" i="43"/>
  <c r="E142" i="43" s="1"/>
  <c r="F142" i="43" s="1"/>
  <c r="B141" i="41"/>
  <c r="H141" i="41"/>
  <c r="D142" i="41"/>
  <c r="G141" i="41"/>
  <c r="I141" i="41" s="1"/>
  <c r="B141" i="43"/>
  <c r="H141" i="43"/>
  <c r="B150" i="24"/>
  <c r="E150" i="24"/>
  <c r="F150" i="24" s="1"/>
  <c r="G150" i="25"/>
  <c r="I150" i="25" s="1"/>
  <c r="D151" i="25"/>
  <c r="B150" i="25"/>
  <c r="H150" i="25"/>
  <c r="H146" i="28"/>
  <c r="J146" i="28" s="1"/>
  <c r="E146" i="31"/>
  <c r="F146" i="31" s="1"/>
  <c r="B146" i="31"/>
  <c r="B153" i="6"/>
  <c r="E153" i="6"/>
  <c r="F153" i="6" s="1"/>
  <c r="H143" i="40"/>
  <c r="J152" i="6"/>
  <c r="D147" i="29"/>
  <c r="H146" i="29"/>
  <c r="G146" i="29"/>
  <c r="I146" i="29" s="1"/>
  <c r="D146" i="37"/>
  <c r="E146" i="37" s="1"/>
  <c r="F146" i="37" s="1"/>
  <c r="G145" i="37"/>
  <c r="I145" i="37" s="1"/>
  <c r="J154" i="5"/>
  <c r="J155" i="5" s="1"/>
  <c r="G145" i="30"/>
  <c r="I145" i="30" s="1"/>
  <c r="D146" i="30"/>
  <c r="H148" i="23"/>
  <c r="G148" i="23"/>
  <c r="I148" i="23" s="1"/>
  <c r="D149" i="23"/>
  <c r="B149" i="23" s="1"/>
  <c r="D144" i="40"/>
  <c r="B144" i="40" s="1"/>
  <c r="B145" i="30"/>
  <c r="H145" i="30"/>
  <c r="E144" i="39"/>
  <c r="F144" i="39" s="1"/>
  <c r="D145" i="39" s="1"/>
  <c r="B145" i="39" s="1"/>
  <c r="J144" i="30"/>
  <c r="D144" i="49"/>
  <c r="G143" i="49"/>
  <c r="G139" i="44"/>
  <c r="I139" i="44" s="1"/>
  <c r="D140" i="44"/>
  <c r="H139" i="44"/>
  <c r="E141" i="42"/>
  <c r="F141" i="42" s="1"/>
  <c r="H141" i="42" s="1"/>
  <c r="B141" i="42"/>
  <c r="H149" i="22"/>
  <c r="D150" i="22"/>
  <c r="B150" i="22" s="1"/>
  <c r="G149" i="22"/>
  <c r="I149" i="22" s="1"/>
  <c r="H137" i="46"/>
  <c r="G137" i="46"/>
  <c r="I137" i="46" s="1"/>
  <c r="D138" i="46"/>
  <c r="E143" i="48"/>
  <c r="F143" i="48" s="1"/>
  <c r="B143" i="48"/>
  <c r="H144" i="47"/>
  <c r="I144" i="47"/>
  <c r="G138" i="45"/>
  <c r="I138" i="45" s="1"/>
  <c r="D139" i="45"/>
  <c r="E139" i="45" s="1"/>
  <c r="H142" i="48"/>
  <c r="I142" i="48"/>
  <c r="E145" i="47"/>
  <c r="F145" i="47" s="1"/>
  <c r="B145" i="47"/>
  <c r="E142" i="38" l="1"/>
  <c r="F142" i="38" s="1"/>
  <c r="B142" i="38"/>
  <c r="H142" i="38"/>
  <c r="G149" i="27"/>
  <c r="I149" i="27" s="1"/>
  <c r="J149" i="27" s="1"/>
  <c r="D150" i="27"/>
  <c r="G152" i="8"/>
  <c r="I152" i="8" s="1"/>
  <c r="D153" i="8"/>
  <c r="J151" i="8"/>
  <c r="B152" i="8"/>
  <c r="H152" i="8"/>
  <c r="E154" i="9"/>
  <c r="E155" i="9" s="1"/>
  <c r="B154" i="9"/>
  <c r="D151" i="4"/>
  <c r="B151" i="4" s="1"/>
  <c r="G150" i="4"/>
  <c r="I150" i="4" s="1"/>
  <c r="B150" i="4"/>
  <c r="H150" i="4"/>
  <c r="E147" i="28"/>
  <c r="F147" i="28" s="1"/>
  <c r="D148" i="28" s="1"/>
  <c r="B148" i="28" s="1"/>
  <c r="B153" i="3"/>
  <c r="E153" i="3"/>
  <c r="F153" i="3" s="1"/>
  <c r="H154" i="11"/>
  <c r="H155" i="11" s="1"/>
  <c r="I154" i="11"/>
  <c r="I155" i="11" s="1"/>
  <c r="J152" i="3"/>
  <c r="D143" i="43"/>
  <c r="E143" i="43" s="1"/>
  <c r="F143" i="43" s="1"/>
  <c r="G142" i="43"/>
  <c r="I142" i="43" s="1"/>
  <c r="E142" i="41"/>
  <c r="F142" i="41" s="1"/>
  <c r="B142" i="41"/>
  <c r="B142" i="43"/>
  <c r="H142" i="43"/>
  <c r="G144" i="39"/>
  <c r="I144" i="39" s="1"/>
  <c r="G150" i="24"/>
  <c r="I150" i="24" s="1"/>
  <c r="D151" i="24"/>
  <c r="H150" i="24"/>
  <c r="J146" i="29"/>
  <c r="B151" i="25"/>
  <c r="E151" i="25"/>
  <c r="F151" i="25" s="1"/>
  <c r="G146" i="31"/>
  <c r="I146" i="31" s="1"/>
  <c r="D147" i="31"/>
  <c r="H146" i="31"/>
  <c r="H144" i="39"/>
  <c r="G153" i="6"/>
  <c r="I153" i="6" s="1"/>
  <c r="H153" i="6"/>
  <c r="D154" i="6"/>
  <c r="E144" i="40"/>
  <c r="F144" i="40" s="1"/>
  <c r="H144" i="40" s="1"/>
  <c r="B147" i="29"/>
  <c r="E147" i="29"/>
  <c r="F147" i="29" s="1"/>
  <c r="G146" i="37"/>
  <c r="I146" i="37" s="1"/>
  <c r="D147" i="37"/>
  <c r="B147" i="37" s="1"/>
  <c r="E149" i="23"/>
  <c r="F149" i="23" s="1"/>
  <c r="D150" i="23" s="1"/>
  <c r="B150" i="23" s="1"/>
  <c r="B146" i="37"/>
  <c r="H146" i="37"/>
  <c r="E150" i="22"/>
  <c r="F150" i="22" s="1"/>
  <c r="D151" i="22" s="1"/>
  <c r="B151" i="22" s="1"/>
  <c r="E148" i="28"/>
  <c r="F148" i="28" s="1"/>
  <c r="G148" i="28" s="1"/>
  <c r="I148" i="28" s="1"/>
  <c r="B146" i="30"/>
  <c r="J145" i="30"/>
  <c r="E145" i="39"/>
  <c r="F145" i="39" s="1"/>
  <c r="G145" i="39" s="1"/>
  <c r="I145" i="39" s="1"/>
  <c r="E146" i="30"/>
  <c r="F146" i="30" s="1"/>
  <c r="D146" i="47"/>
  <c r="G145" i="47"/>
  <c r="F139" i="45"/>
  <c r="H139" i="45" s="1"/>
  <c r="B139" i="45"/>
  <c r="E138" i="46"/>
  <c r="F138" i="46" s="1"/>
  <c r="B138" i="46"/>
  <c r="B140" i="44"/>
  <c r="G143" i="48"/>
  <c r="D144" i="48"/>
  <c r="D142" i="42"/>
  <c r="B142" i="42" s="1"/>
  <c r="G141" i="42"/>
  <c r="I141" i="42" s="1"/>
  <c r="H143" i="49"/>
  <c r="I143" i="49"/>
  <c r="E140" i="44"/>
  <c r="F140" i="44" s="1"/>
  <c r="E144" i="49"/>
  <c r="F144" i="49" s="1"/>
  <c r="B144" i="49"/>
  <c r="D146" i="39" l="1"/>
  <c r="B146" i="39" s="1"/>
  <c r="G142" i="38"/>
  <c r="I142" i="38" s="1"/>
  <c r="D143" i="38"/>
  <c r="E143" i="38" s="1"/>
  <c r="F143" i="38" s="1"/>
  <c r="H147" i="28"/>
  <c r="B150" i="27"/>
  <c r="E150" i="27"/>
  <c r="F150" i="27" s="1"/>
  <c r="F154" i="9"/>
  <c r="G154" i="9" s="1"/>
  <c r="I154" i="9" s="1"/>
  <c r="I155" i="9" s="1"/>
  <c r="B153" i="8"/>
  <c r="E153" i="8"/>
  <c r="F153" i="8" s="1"/>
  <c r="G147" i="28"/>
  <c r="I147" i="28" s="1"/>
  <c r="J152" i="8"/>
  <c r="E151" i="4"/>
  <c r="F151" i="4" s="1"/>
  <c r="J150" i="4"/>
  <c r="G153" i="3"/>
  <c r="I153" i="3" s="1"/>
  <c r="D154" i="3"/>
  <c r="H153" i="3"/>
  <c r="G144" i="40"/>
  <c r="I144" i="40" s="1"/>
  <c r="H150" i="22"/>
  <c r="G142" i="41"/>
  <c r="I142" i="41" s="1"/>
  <c r="D143" i="41"/>
  <c r="E143" i="41" s="1"/>
  <c r="F143" i="41" s="1"/>
  <c r="D144" i="43"/>
  <c r="G143" i="43"/>
  <c r="I143" i="43" s="1"/>
  <c r="H142" i="41"/>
  <c r="B143" i="43"/>
  <c r="H143" i="43"/>
  <c r="G149" i="23"/>
  <c r="I149" i="23" s="1"/>
  <c r="E150" i="23"/>
  <c r="F150" i="23" s="1"/>
  <c r="H150" i="23" s="1"/>
  <c r="B151" i="24"/>
  <c r="E151" i="24"/>
  <c r="F151" i="24" s="1"/>
  <c r="H149" i="23"/>
  <c r="H151" i="25"/>
  <c r="G151" i="25"/>
  <c r="I151" i="25" s="1"/>
  <c r="D152" i="25"/>
  <c r="J146" i="31"/>
  <c r="D145" i="40"/>
  <c r="B145" i="40" s="1"/>
  <c r="H145" i="39"/>
  <c r="E147" i="31"/>
  <c r="F147" i="31" s="1"/>
  <c r="H147" i="31" s="1"/>
  <c r="B147" i="31"/>
  <c r="J153" i="6"/>
  <c r="D149" i="28"/>
  <c r="B149" i="28" s="1"/>
  <c r="E154" i="6"/>
  <c r="E155" i="6" s="1"/>
  <c r="B154" i="6"/>
  <c r="G150" i="22"/>
  <c r="I150" i="22" s="1"/>
  <c r="D148" i="29"/>
  <c r="H147" i="29"/>
  <c r="G147" i="29"/>
  <c r="I147" i="29" s="1"/>
  <c r="E146" i="39"/>
  <c r="F146" i="39" s="1"/>
  <c r="G146" i="39" s="1"/>
  <c r="I146" i="39" s="1"/>
  <c r="E147" i="37"/>
  <c r="F147" i="37" s="1"/>
  <c r="H148" i="28"/>
  <c r="J148" i="28" s="1"/>
  <c r="G146" i="30"/>
  <c r="I146" i="30" s="1"/>
  <c r="D147" i="30"/>
  <c r="E147" i="30" s="1"/>
  <c r="F147" i="30" s="1"/>
  <c r="H146" i="30"/>
  <c r="D145" i="49"/>
  <c r="G144" i="49"/>
  <c r="G140" i="44"/>
  <c r="I140" i="44" s="1"/>
  <c r="D141" i="44"/>
  <c r="H140" i="44"/>
  <c r="E142" i="42"/>
  <c r="F142" i="42" s="1"/>
  <c r="B144" i="48"/>
  <c r="I143" i="48"/>
  <c r="H143" i="48"/>
  <c r="D139" i="46"/>
  <c r="G138" i="46"/>
  <c r="I138" i="46" s="1"/>
  <c r="I145" i="47"/>
  <c r="H145" i="47"/>
  <c r="E151" i="22"/>
  <c r="F151" i="22" s="1"/>
  <c r="E144" i="48"/>
  <c r="F144" i="48" s="1"/>
  <c r="H138" i="46"/>
  <c r="G139" i="45"/>
  <c r="I139" i="45" s="1"/>
  <c r="D140" i="45"/>
  <c r="E140" i="45" s="1"/>
  <c r="F140" i="45" s="1"/>
  <c r="E146" i="47"/>
  <c r="F146" i="47" s="1"/>
  <c r="B146" i="47"/>
  <c r="J147" i="28" l="1"/>
  <c r="B143" i="38"/>
  <c r="H143" i="38"/>
  <c r="D144" i="38"/>
  <c r="B144" i="38" s="1"/>
  <c r="G143" i="38"/>
  <c r="I143" i="38" s="1"/>
  <c r="H154" i="9"/>
  <c r="H155" i="9" s="1"/>
  <c r="H150" i="27"/>
  <c r="G150" i="27"/>
  <c r="I150" i="27" s="1"/>
  <c r="D151" i="27"/>
  <c r="H146" i="39"/>
  <c r="E145" i="40"/>
  <c r="F145" i="40" s="1"/>
  <c r="H145" i="40" s="1"/>
  <c r="G153" i="8"/>
  <c r="I153" i="8" s="1"/>
  <c r="D154" i="8"/>
  <c r="H153" i="8"/>
  <c r="G151" i="4"/>
  <c r="I151" i="4" s="1"/>
  <c r="D152" i="4"/>
  <c r="H151" i="4"/>
  <c r="E154" i="3"/>
  <c r="E155" i="3" s="1"/>
  <c r="B154" i="3"/>
  <c r="E149" i="28"/>
  <c r="F149" i="28" s="1"/>
  <c r="H149" i="28" s="1"/>
  <c r="J153" i="3"/>
  <c r="D144" i="41"/>
  <c r="E144" i="41" s="1"/>
  <c r="F144" i="41" s="1"/>
  <c r="G143" i="41"/>
  <c r="I143" i="41" s="1"/>
  <c r="B144" i="43"/>
  <c r="E144" i="43"/>
  <c r="F144" i="43" s="1"/>
  <c r="B143" i="41"/>
  <c r="H143" i="41"/>
  <c r="G150" i="23"/>
  <c r="I150" i="23" s="1"/>
  <c r="D151" i="23"/>
  <c r="B151" i="23" s="1"/>
  <c r="H151" i="24"/>
  <c r="G151" i="24"/>
  <c r="I151" i="24" s="1"/>
  <c r="D152" i="24"/>
  <c r="B152" i="25"/>
  <c r="E152" i="25"/>
  <c r="F152" i="25" s="1"/>
  <c r="D147" i="39"/>
  <c r="B147" i="39" s="1"/>
  <c r="D148" i="31"/>
  <c r="E148" i="31" s="1"/>
  <c r="F148" i="31" s="1"/>
  <c r="G147" i="31"/>
  <c r="I147" i="31" s="1"/>
  <c r="J147" i="31" s="1"/>
  <c r="F154" i="6"/>
  <c r="J147" i="29"/>
  <c r="B148" i="29"/>
  <c r="E148" i="29"/>
  <c r="F148" i="29" s="1"/>
  <c r="D148" i="37"/>
  <c r="H147" i="37"/>
  <c r="G147" i="37"/>
  <c r="I147" i="37" s="1"/>
  <c r="G147" i="30"/>
  <c r="I147" i="30" s="1"/>
  <c r="D148" i="30"/>
  <c r="B148" i="30" s="1"/>
  <c r="B147" i="30"/>
  <c r="H147" i="30"/>
  <c r="J146" i="30"/>
  <c r="D145" i="48"/>
  <c r="G144" i="48"/>
  <c r="B141" i="44"/>
  <c r="D141" i="45"/>
  <c r="E141" i="45" s="1"/>
  <c r="F141" i="45" s="1"/>
  <c r="G140" i="45"/>
  <c r="I140" i="45" s="1"/>
  <c r="D147" i="47"/>
  <c r="G146" i="47"/>
  <c r="H142" i="42"/>
  <c r="D143" i="42"/>
  <c r="E143" i="42" s="1"/>
  <c r="F143" i="42" s="1"/>
  <c r="G142" i="42"/>
  <c r="I142" i="42" s="1"/>
  <c r="H144" i="49"/>
  <c r="I144" i="49"/>
  <c r="B140" i="45"/>
  <c r="H140" i="45"/>
  <c r="H151" i="22"/>
  <c r="G151" i="22"/>
  <c r="I151" i="22" s="1"/>
  <c r="D152" i="22"/>
  <c r="B152" i="22" s="1"/>
  <c r="E139" i="46"/>
  <c r="F139" i="46" s="1"/>
  <c r="H139" i="46" s="1"/>
  <c r="B139" i="46"/>
  <c r="E141" i="44"/>
  <c r="F141" i="44" s="1"/>
  <c r="H141" i="44" s="1"/>
  <c r="E145" i="49"/>
  <c r="F145" i="49" s="1"/>
  <c r="B145" i="49"/>
  <c r="E144" i="38" l="1"/>
  <c r="F144" i="38" s="1"/>
  <c r="G145" i="40"/>
  <c r="I145" i="40" s="1"/>
  <c r="D146" i="40"/>
  <c r="J150" i="27"/>
  <c r="H144" i="38"/>
  <c r="D145" i="38"/>
  <c r="G144" i="38"/>
  <c r="I144" i="38" s="1"/>
  <c r="D150" i="28"/>
  <c r="B150" i="28" s="1"/>
  <c r="E151" i="27"/>
  <c r="F151" i="27" s="1"/>
  <c r="H151" i="27" s="1"/>
  <c r="B151" i="27"/>
  <c r="E154" i="8"/>
  <c r="E155" i="8" s="1"/>
  <c r="B154" i="8"/>
  <c r="J153" i="8"/>
  <c r="B152" i="4"/>
  <c r="E152" i="4"/>
  <c r="F152" i="4" s="1"/>
  <c r="J151" i="4"/>
  <c r="G149" i="28"/>
  <c r="I149" i="28" s="1"/>
  <c r="J149" i="28" s="1"/>
  <c r="E151" i="23"/>
  <c r="F151" i="23" s="1"/>
  <c r="H151" i="23" s="1"/>
  <c r="F154" i="3"/>
  <c r="G144" i="41"/>
  <c r="I144" i="41" s="1"/>
  <c r="D145" i="41"/>
  <c r="E145" i="41" s="1"/>
  <c r="F145" i="41" s="1"/>
  <c r="G144" i="43"/>
  <c r="I144" i="43" s="1"/>
  <c r="D145" i="43"/>
  <c r="E145" i="43" s="1"/>
  <c r="F145" i="43" s="1"/>
  <c r="H144" i="43"/>
  <c r="B144" i="41"/>
  <c r="H144" i="41"/>
  <c r="E147" i="39"/>
  <c r="F147" i="39" s="1"/>
  <c r="H147" i="39" s="1"/>
  <c r="B152" i="24"/>
  <c r="E152" i="24"/>
  <c r="F152" i="24" s="1"/>
  <c r="D153" i="25"/>
  <c r="G152" i="25"/>
  <c r="I152" i="25" s="1"/>
  <c r="H152" i="25"/>
  <c r="B148" i="31"/>
  <c r="H148" i="31"/>
  <c r="G148" i="31"/>
  <c r="I148" i="31" s="1"/>
  <c r="D149" i="31"/>
  <c r="G154" i="6"/>
  <c r="I154" i="6" s="1"/>
  <c r="H154" i="6"/>
  <c r="H155" i="6" s="1"/>
  <c r="G148" i="29"/>
  <c r="I148" i="29" s="1"/>
  <c r="D149" i="29"/>
  <c r="H148" i="29"/>
  <c r="B148" i="37"/>
  <c r="E148" i="37"/>
  <c r="F148" i="37" s="1"/>
  <c r="J147" i="30"/>
  <c r="E148" i="30"/>
  <c r="F148" i="30" s="1"/>
  <c r="E152" i="22"/>
  <c r="F152" i="22" s="1"/>
  <c r="G152" i="22" s="1"/>
  <c r="I152" i="22" s="1"/>
  <c r="B146" i="40"/>
  <c r="E146" i="40"/>
  <c r="F146" i="40" s="1"/>
  <c r="D146" i="49"/>
  <c r="G145" i="49"/>
  <c r="D142" i="45"/>
  <c r="E142" i="45" s="1"/>
  <c r="F142" i="45" s="1"/>
  <c r="G141" i="45"/>
  <c r="I141" i="45" s="1"/>
  <c r="E145" i="48"/>
  <c r="F145" i="48" s="1"/>
  <c r="B145" i="48"/>
  <c r="D144" i="42"/>
  <c r="B144" i="42" s="1"/>
  <c r="G143" i="42"/>
  <c r="I143" i="42" s="1"/>
  <c r="G139" i="46"/>
  <c r="I139" i="46" s="1"/>
  <c r="D140" i="46"/>
  <c r="H146" i="47"/>
  <c r="I146" i="47"/>
  <c r="B141" i="45"/>
  <c r="H141" i="45"/>
  <c r="G141" i="44"/>
  <c r="I141" i="44" s="1"/>
  <c r="D142" i="44"/>
  <c r="E142" i="44" s="1"/>
  <c r="F142" i="44" s="1"/>
  <c r="B143" i="42"/>
  <c r="H143" i="42"/>
  <c r="E147" i="47"/>
  <c r="F147" i="47" s="1"/>
  <c r="B147" i="47"/>
  <c r="I144" i="48"/>
  <c r="H144" i="48"/>
  <c r="E150" i="28" l="1"/>
  <c r="F150" i="28" s="1"/>
  <c r="D151" i="28" s="1"/>
  <c r="B151" i="28" s="1"/>
  <c r="E145" i="38"/>
  <c r="F145" i="38" s="1"/>
  <c r="B145" i="38"/>
  <c r="H145" i="38"/>
  <c r="G151" i="27"/>
  <c r="I151" i="27" s="1"/>
  <c r="J151" i="27" s="1"/>
  <c r="D152" i="27"/>
  <c r="F154" i="8"/>
  <c r="G154" i="8" s="1"/>
  <c r="H154" i="8" s="1"/>
  <c r="H155" i="8" s="1"/>
  <c r="G152" i="4"/>
  <c r="I152" i="4" s="1"/>
  <c r="D153" i="4"/>
  <c r="H152" i="4"/>
  <c r="G151" i="23"/>
  <c r="I151" i="23" s="1"/>
  <c r="D152" i="23"/>
  <c r="B152" i="23" s="1"/>
  <c r="H152" i="22"/>
  <c r="G154" i="3"/>
  <c r="I154" i="3" s="1"/>
  <c r="H154" i="3"/>
  <c r="H155" i="3" s="1"/>
  <c r="D153" i="22"/>
  <c r="B153" i="22" s="1"/>
  <c r="D146" i="43"/>
  <c r="E146" i="43" s="1"/>
  <c r="F146" i="43" s="1"/>
  <c r="G145" i="43"/>
  <c r="I145" i="43" s="1"/>
  <c r="D146" i="41"/>
  <c r="G145" i="41"/>
  <c r="I145" i="41" s="1"/>
  <c r="B145" i="41"/>
  <c r="H145" i="41"/>
  <c r="B145" i="43"/>
  <c r="H145" i="43"/>
  <c r="D148" i="39"/>
  <c r="D153" i="24"/>
  <c r="H152" i="24"/>
  <c r="G152" i="24"/>
  <c r="I152" i="24" s="1"/>
  <c r="G147" i="39"/>
  <c r="I147" i="39" s="1"/>
  <c r="B153" i="25"/>
  <c r="E153" i="25"/>
  <c r="F153" i="25" s="1"/>
  <c r="J148" i="31"/>
  <c r="E149" i="31"/>
  <c r="F149" i="31" s="1"/>
  <c r="B149" i="31"/>
  <c r="G150" i="28"/>
  <c r="I150" i="28" s="1"/>
  <c r="H150" i="28"/>
  <c r="J154" i="6"/>
  <c r="J155" i="6" s="1"/>
  <c r="I155" i="6"/>
  <c r="J148" i="29"/>
  <c r="B149" i="29"/>
  <c r="E149" i="29"/>
  <c r="F149" i="29" s="1"/>
  <c r="H148" i="37"/>
  <c r="G148" i="37"/>
  <c r="I148" i="37" s="1"/>
  <c r="D149" i="37"/>
  <c r="G148" i="30"/>
  <c r="I148" i="30" s="1"/>
  <c r="D149" i="30"/>
  <c r="H148" i="30"/>
  <c r="H146" i="40"/>
  <c r="D147" i="40"/>
  <c r="G146" i="40"/>
  <c r="I146" i="40" s="1"/>
  <c r="D148" i="47"/>
  <c r="G147" i="47"/>
  <c r="D146" i="48"/>
  <c r="G145" i="48"/>
  <c r="E140" i="46"/>
  <c r="F140" i="46" s="1"/>
  <c r="B140" i="46"/>
  <c r="G142" i="45"/>
  <c r="I142" i="45" s="1"/>
  <c r="D143" i="45"/>
  <c r="B143" i="45" s="1"/>
  <c r="E146" i="49"/>
  <c r="F146" i="49" s="1"/>
  <c r="B146" i="49"/>
  <c r="G142" i="44"/>
  <c r="I142" i="44" s="1"/>
  <c r="D143" i="44"/>
  <c r="B142" i="45"/>
  <c r="H142" i="45"/>
  <c r="B142" i="44"/>
  <c r="H142" i="44"/>
  <c r="E144" i="42"/>
  <c r="F144" i="42" s="1"/>
  <c r="E151" i="28"/>
  <c r="F151" i="28" s="1"/>
  <c r="H145" i="49"/>
  <c r="I145" i="49"/>
  <c r="E152" i="23" l="1"/>
  <c r="F152" i="23" s="1"/>
  <c r="H152" i="23" s="1"/>
  <c r="I154" i="8"/>
  <c r="D146" i="38"/>
  <c r="G145" i="38"/>
  <c r="I145" i="38" s="1"/>
  <c r="B152" i="27"/>
  <c r="E152" i="27"/>
  <c r="F152" i="27" s="1"/>
  <c r="I155" i="8"/>
  <c r="J154" i="8"/>
  <c r="J155" i="8" s="1"/>
  <c r="B153" i="4"/>
  <c r="E153" i="4"/>
  <c r="F153" i="4" s="1"/>
  <c r="J152" i="4"/>
  <c r="G152" i="23"/>
  <c r="I152" i="23" s="1"/>
  <c r="D153" i="23"/>
  <c r="B153" i="23" s="1"/>
  <c r="J150" i="28"/>
  <c r="E153" i="22"/>
  <c r="F153" i="22" s="1"/>
  <c r="G153" i="22" s="1"/>
  <c r="I153" i="22" s="1"/>
  <c r="J154" i="3"/>
  <c r="J155" i="3" s="1"/>
  <c r="I155" i="3"/>
  <c r="G146" i="43"/>
  <c r="I146" i="43" s="1"/>
  <c r="D147" i="43"/>
  <c r="B147" i="43" s="1"/>
  <c r="B146" i="41"/>
  <c r="E146" i="41"/>
  <c r="F146" i="41" s="1"/>
  <c r="B146" i="43"/>
  <c r="H146" i="43"/>
  <c r="B153" i="24"/>
  <c r="E153" i="24"/>
  <c r="F153" i="24" s="1"/>
  <c r="B148" i="39"/>
  <c r="E148" i="39"/>
  <c r="F148" i="39" s="1"/>
  <c r="H153" i="25"/>
  <c r="D154" i="25"/>
  <c r="E154" i="25" s="1"/>
  <c r="E155" i="25" s="1"/>
  <c r="G153" i="25"/>
  <c r="I153" i="25" s="1"/>
  <c r="D150" i="31"/>
  <c r="B150" i="31" s="1"/>
  <c r="G149" i="31"/>
  <c r="I149" i="31" s="1"/>
  <c r="H149" i="31"/>
  <c r="H149" i="29"/>
  <c r="G149" i="29"/>
  <c r="I149" i="29" s="1"/>
  <c r="D150" i="29"/>
  <c r="B149" i="37"/>
  <c r="E149" i="37"/>
  <c r="F149" i="37" s="1"/>
  <c r="J148" i="30"/>
  <c r="B149" i="30"/>
  <c r="E153" i="23"/>
  <c r="F153" i="23" s="1"/>
  <c r="H153" i="23" s="1"/>
  <c r="E149" i="30"/>
  <c r="F149" i="30" s="1"/>
  <c r="B147" i="40"/>
  <c r="E147" i="40"/>
  <c r="F147" i="40" s="1"/>
  <c r="H151" i="28"/>
  <c r="G151" i="28"/>
  <c r="I151" i="28" s="1"/>
  <c r="D152" i="28"/>
  <c r="B152" i="28" s="1"/>
  <c r="B143" i="44"/>
  <c r="E143" i="45"/>
  <c r="F143" i="45" s="1"/>
  <c r="H145" i="48"/>
  <c r="I145" i="48"/>
  <c r="D141" i="46"/>
  <c r="G140" i="46"/>
  <c r="I140" i="46" s="1"/>
  <c r="E146" i="48"/>
  <c r="F146" i="48" s="1"/>
  <c r="B146" i="48"/>
  <c r="D147" i="49"/>
  <c r="G146" i="49"/>
  <c r="H147" i="47"/>
  <c r="I147" i="47"/>
  <c r="H144" i="42"/>
  <c r="D145" i="42"/>
  <c r="E145" i="42" s="1"/>
  <c r="F145" i="42" s="1"/>
  <c r="G144" i="42"/>
  <c r="I144" i="42" s="1"/>
  <c r="E143" i="44"/>
  <c r="F143" i="44" s="1"/>
  <c r="H140" i="46"/>
  <c r="E148" i="47"/>
  <c r="F148" i="47" s="1"/>
  <c r="B148" i="47"/>
  <c r="E146" i="38" l="1"/>
  <c r="F146" i="38" s="1"/>
  <c r="B146" i="38"/>
  <c r="H146" i="38"/>
  <c r="G152" i="27"/>
  <c r="I152" i="27" s="1"/>
  <c r="D153" i="27"/>
  <c r="H152" i="27"/>
  <c r="G153" i="4"/>
  <c r="I153" i="4" s="1"/>
  <c r="D154" i="4"/>
  <c r="H153" i="4"/>
  <c r="H153" i="22"/>
  <c r="D154" i="23"/>
  <c r="E154" i="23" s="1"/>
  <c r="E155" i="23" s="1"/>
  <c r="D154" i="22"/>
  <c r="B154" i="22" s="1"/>
  <c r="E147" i="43"/>
  <c r="F147" i="43" s="1"/>
  <c r="H147" i="43" s="1"/>
  <c r="G146" i="41"/>
  <c r="I146" i="41" s="1"/>
  <c r="D147" i="41"/>
  <c r="E147" i="41" s="1"/>
  <c r="F147" i="41" s="1"/>
  <c r="H146" i="41"/>
  <c r="D154" i="24"/>
  <c r="G153" i="24"/>
  <c r="I153" i="24" s="1"/>
  <c r="H153" i="24"/>
  <c r="G148" i="39"/>
  <c r="I148" i="39" s="1"/>
  <c r="H148" i="39"/>
  <c r="D149" i="39"/>
  <c r="E150" i="31"/>
  <c r="F150" i="31" s="1"/>
  <c r="H150" i="31" s="1"/>
  <c r="B154" i="25"/>
  <c r="F154" i="25"/>
  <c r="G154" i="25" s="1"/>
  <c r="J149" i="31"/>
  <c r="J149" i="29"/>
  <c r="G153" i="23"/>
  <c r="I153" i="23" s="1"/>
  <c r="B150" i="29"/>
  <c r="E150" i="29"/>
  <c r="F150" i="29" s="1"/>
  <c r="H150" i="29" s="1"/>
  <c r="G149" i="37"/>
  <c r="I149" i="37" s="1"/>
  <c r="D150" i="37"/>
  <c r="E150" i="37" s="1"/>
  <c r="F150" i="37" s="1"/>
  <c r="H149" i="37"/>
  <c r="J151" i="28"/>
  <c r="G149" i="30"/>
  <c r="I149" i="30" s="1"/>
  <c r="D150" i="30"/>
  <c r="E150" i="30" s="1"/>
  <c r="F150" i="30" s="1"/>
  <c r="H149" i="30"/>
  <c r="G147" i="40"/>
  <c r="I147" i="40" s="1"/>
  <c r="D148" i="40"/>
  <c r="E148" i="40" s="1"/>
  <c r="F148" i="40" s="1"/>
  <c r="H147" i="40"/>
  <c r="D149" i="47"/>
  <c r="B149" i="47" s="1"/>
  <c r="G148" i="47"/>
  <c r="G146" i="48"/>
  <c r="D147" i="48"/>
  <c r="G143" i="44"/>
  <c r="I143" i="44" s="1"/>
  <c r="D144" i="44"/>
  <c r="E144" i="44" s="1"/>
  <c r="F144" i="44" s="1"/>
  <c r="E147" i="49"/>
  <c r="F147" i="49" s="1"/>
  <c r="B147" i="49"/>
  <c r="H143" i="44"/>
  <c r="E152" i="28"/>
  <c r="F152" i="28" s="1"/>
  <c r="H143" i="45"/>
  <c r="D144" i="45"/>
  <c r="G143" i="45"/>
  <c r="I143" i="45" s="1"/>
  <c r="G145" i="42"/>
  <c r="I145" i="42" s="1"/>
  <c r="D146" i="42"/>
  <c r="B146" i="42" s="1"/>
  <c r="B145" i="42"/>
  <c r="H145" i="42"/>
  <c r="H146" i="49"/>
  <c r="I146" i="49"/>
  <c r="E141" i="46"/>
  <c r="F141" i="46" s="1"/>
  <c r="H141" i="46" s="1"/>
  <c r="B141" i="46"/>
  <c r="E154" i="22" l="1"/>
  <c r="E155" i="22" s="1"/>
  <c r="D147" i="38"/>
  <c r="B147" i="38" s="1"/>
  <c r="G146" i="38"/>
  <c r="I146" i="38" s="1"/>
  <c r="E147" i="38"/>
  <c r="F147" i="38" s="1"/>
  <c r="F154" i="23"/>
  <c r="G154" i="23" s="1"/>
  <c r="B154" i="23"/>
  <c r="B153" i="27"/>
  <c r="E153" i="27"/>
  <c r="F153" i="27" s="1"/>
  <c r="J152" i="27"/>
  <c r="J153" i="4"/>
  <c r="E154" i="4"/>
  <c r="B154" i="4"/>
  <c r="G147" i="43"/>
  <c r="I147" i="43" s="1"/>
  <c r="D148" i="43"/>
  <c r="B148" i="43" s="1"/>
  <c r="D148" i="41"/>
  <c r="G147" i="41"/>
  <c r="I147" i="41" s="1"/>
  <c r="B147" i="41"/>
  <c r="H147" i="41"/>
  <c r="D151" i="31"/>
  <c r="E151" i="31" s="1"/>
  <c r="F151" i="31" s="1"/>
  <c r="D152" i="31" s="1"/>
  <c r="E152" i="31" s="1"/>
  <c r="F152" i="31" s="1"/>
  <c r="G150" i="31"/>
  <c r="I150" i="31" s="1"/>
  <c r="J150" i="31" s="1"/>
  <c r="E154" i="24"/>
  <c r="B154" i="24"/>
  <c r="B149" i="39"/>
  <c r="E149" i="39"/>
  <c r="F149" i="39" s="1"/>
  <c r="I154" i="25"/>
  <c r="I155" i="25" s="1"/>
  <c r="H154" i="25"/>
  <c r="H155" i="25" s="1"/>
  <c r="D151" i="29"/>
  <c r="E151" i="29" s="1"/>
  <c r="F151" i="29" s="1"/>
  <c r="G150" i="29"/>
  <c r="I150" i="29" s="1"/>
  <c r="J150" i="29" s="1"/>
  <c r="F154" i="22"/>
  <c r="G154" i="22" s="1"/>
  <c r="H154" i="22" s="1"/>
  <c r="H155" i="22" s="1"/>
  <c r="G150" i="37"/>
  <c r="I150" i="37" s="1"/>
  <c r="D151" i="37"/>
  <c r="B151" i="37" s="1"/>
  <c r="B150" i="37"/>
  <c r="H150" i="37"/>
  <c r="D151" i="30"/>
  <c r="E151" i="30" s="1"/>
  <c r="F151" i="30" s="1"/>
  <c r="G150" i="30"/>
  <c r="I150" i="30" s="1"/>
  <c r="B150" i="30"/>
  <c r="H150" i="30"/>
  <c r="J149" i="30"/>
  <c r="G148" i="40"/>
  <c r="I148" i="40" s="1"/>
  <c r="D149" i="40"/>
  <c r="E146" i="42"/>
  <c r="F146" i="42" s="1"/>
  <c r="G146" i="42" s="1"/>
  <c r="I146" i="42" s="1"/>
  <c r="B148" i="40"/>
  <c r="H148" i="40"/>
  <c r="E149" i="47"/>
  <c r="F149" i="47" s="1"/>
  <c r="G149" i="47" s="1"/>
  <c r="G144" i="44"/>
  <c r="I144" i="44" s="1"/>
  <c r="D145" i="44"/>
  <c r="B145" i="44" s="1"/>
  <c r="D148" i="49"/>
  <c r="G147" i="49"/>
  <c r="H146" i="48"/>
  <c r="I146" i="48"/>
  <c r="E144" i="45"/>
  <c r="F144" i="45" s="1"/>
  <c r="B144" i="45"/>
  <c r="H154" i="23"/>
  <c r="H155" i="23" s="1"/>
  <c r="I154" i="23"/>
  <c r="I155" i="23" s="1"/>
  <c r="B144" i="44"/>
  <c r="H144" i="44"/>
  <c r="G141" i="46"/>
  <c r="I141" i="46" s="1"/>
  <c r="D142" i="46"/>
  <c r="E142" i="46" s="1"/>
  <c r="F142" i="46" s="1"/>
  <c r="H148" i="47"/>
  <c r="I148" i="47"/>
  <c r="H152" i="28"/>
  <c r="D153" i="28"/>
  <c r="B153" i="28" s="1"/>
  <c r="G152" i="28"/>
  <c r="I152" i="28" s="1"/>
  <c r="E147" i="48"/>
  <c r="F147" i="48" s="1"/>
  <c r="B147" i="48"/>
  <c r="H147" i="38" l="1"/>
  <c r="D148" i="38"/>
  <c r="E148" i="38" s="1"/>
  <c r="F148" i="38" s="1"/>
  <c r="G147" i="38"/>
  <c r="I147" i="38" s="1"/>
  <c r="D154" i="27"/>
  <c r="G153" i="27"/>
  <c r="E155" i="4"/>
  <c r="F154" i="4"/>
  <c r="I154" i="22"/>
  <c r="I155" i="22" s="1"/>
  <c r="E148" i="43"/>
  <c r="F148" i="43" s="1"/>
  <c r="H148" i="43" s="1"/>
  <c r="H146" i="42"/>
  <c r="G151" i="31"/>
  <c r="I151" i="31" s="1"/>
  <c r="H151" i="31"/>
  <c r="B151" i="31"/>
  <c r="E148" i="41"/>
  <c r="F148" i="41" s="1"/>
  <c r="H148" i="41" s="1"/>
  <c r="B148" i="41"/>
  <c r="D150" i="39"/>
  <c r="G149" i="39"/>
  <c r="I149" i="39" s="1"/>
  <c r="H149" i="39"/>
  <c r="E155" i="24"/>
  <c r="F154" i="24"/>
  <c r="G154" i="24" s="1"/>
  <c r="D153" i="31"/>
  <c r="E153" i="31" s="1"/>
  <c r="F153" i="31" s="1"/>
  <c r="G152" i="31"/>
  <c r="I152" i="31" s="1"/>
  <c r="B152" i="31"/>
  <c r="H152" i="31"/>
  <c r="D150" i="47"/>
  <c r="B150" i="47" s="1"/>
  <c r="D147" i="42"/>
  <c r="E147" i="42" s="1"/>
  <c r="F147" i="42" s="1"/>
  <c r="G151" i="29"/>
  <c r="I151" i="29" s="1"/>
  <c r="D152" i="29"/>
  <c r="E152" i="29" s="1"/>
  <c r="F152" i="29" s="1"/>
  <c r="B151" i="29"/>
  <c r="H151" i="29"/>
  <c r="E151" i="37"/>
  <c r="F151" i="37" s="1"/>
  <c r="G151" i="30"/>
  <c r="I151" i="30" s="1"/>
  <c r="D152" i="30"/>
  <c r="J150" i="30"/>
  <c r="B151" i="30"/>
  <c r="H151" i="30"/>
  <c r="E153" i="28"/>
  <c r="F153" i="28" s="1"/>
  <c r="H153" i="28" s="1"/>
  <c r="E149" i="40"/>
  <c r="F149" i="40" s="1"/>
  <c r="B149" i="40"/>
  <c r="D148" i="48"/>
  <c r="G147" i="48"/>
  <c r="G142" i="46"/>
  <c r="I142" i="46" s="1"/>
  <c r="D143" i="46"/>
  <c r="B143" i="46" s="1"/>
  <c r="H149" i="47"/>
  <c r="I149" i="47"/>
  <c r="E148" i="49"/>
  <c r="F148" i="49" s="1"/>
  <c r="B148" i="49"/>
  <c r="B142" i="46"/>
  <c r="H142" i="46"/>
  <c r="G144" i="45"/>
  <c r="I144" i="45" s="1"/>
  <c r="D145" i="45"/>
  <c r="B145" i="45" s="1"/>
  <c r="E145" i="44"/>
  <c r="F145" i="44" s="1"/>
  <c r="J152" i="28"/>
  <c r="H144" i="45"/>
  <c r="H147" i="49"/>
  <c r="I147" i="49"/>
  <c r="D149" i="38" l="1"/>
  <c r="E149" i="38" s="1"/>
  <c r="F149" i="38" s="1"/>
  <c r="G148" i="38"/>
  <c r="I148" i="38" s="1"/>
  <c r="B148" i="38"/>
  <c r="H148" i="38"/>
  <c r="I153" i="27"/>
  <c r="H153" i="27"/>
  <c r="E154" i="27"/>
  <c r="E155" i="27" s="1"/>
  <c r="B154" i="27"/>
  <c r="J151" i="31"/>
  <c r="E150" i="47"/>
  <c r="F150" i="47" s="1"/>
  <c r="D151" i="47" s="1"/>
  <c r="H154" i="4"/>
  <c r="H155" i="4" s="1"/>
  <c r="G154" i="4"/>
  <c r="I154" i="4" s="1"/>
  <c r="G148" i="43"/>
  <c r="I148" i="43" s="1"/>
  <c r="D154" i="28"/>
  <c r="E154" i="28" s="1"/>
  <c r="E155" i="28" s="1"/>
  <c r="G153" i="28"/>
  <c r="I153" i="28" s="1"/>
  <c r="J153" i="28" s="1"/>
  <c r="D149" i="43"/>
  <c r="B149" i="43" s="1"/>
  <c r="D149" i="41"/>
  <c r="G148" i="41"/>
  <c r="I148" i="41" s="1"/>
  <c r="I154" i="24"/>
  <c r="I155" i="24" s="1"/>
  <c r="H154" i="24"/>
  <c r="H155" i="24" s="1"/>
  <c r="B150" i="39"/>
  <c r="E150" i="39"/>
  <c r="F150" i="39" s="1"/>
  <c r="G153" i="31"/>
  <c r="I153" i="31" s="1"/>
  <c r="D154" i="31"/>
  <c r="E154" i="31" s="1"/>
  <c r="E155" i="31" s="1"/>
  <c r="J152" i="31"/>
  <c r="B153" i="31"/>
  <c r="H153" i="31"/>
  <c r="B147" i="42"/>
  <c r="D153" i="29"/>
  <c r="B153" i="29" s="1"/>
  <c r="G152" i="29"/>
  <c r="I152" i="29" s="1"/>
  <c r="B152" i="29"/>
  <c r="H152" i="29"/>
  <c r="J151" i="29"/>
  <c r="H151" i="37"/>
  <c r="G151" i="37"/>
  <c r="I151" i="37" s="1"/>
  <c r="D152" i="37"/>
  <c r="E152" i="37" s="1"/>
  <c r="F152" i="37" s="1"/>
  <c r="B152" i="30"/>
  <c r="E152" i="30"/>
  <c r="F152" i="30" s="1"/>
  <c r="J151" i="30"/>
  <c r="G149" i="40"/>
  <c r="I149" i="40" s="1"/>
  <c r="H149" i="40"/>
  <c r="D150" i="40"/>
  <c r="B150" i="40" s="1"/>
  <c r="D149" i="49"/>
  <c r="G148" i="49"/>
  <c r="G150" i="47"/>
  <c r="H145" i="44"/>
  <c r="G145" i="44"/>
  <c r="I145" i="44" s="1"/>
  <c r="D146" i="44"/>
  <c r="B146" i="44" s="1"/>
  <c r="H147" i="42"/>
  <c r="G147" i="42"/>
  <c r="I147" i="42" s="1"/>
  <c r="D148" i="42"/>
  <c r="B148" i="42" s="1"/>
  <c r="E145" i="45"/>
  <c r="F145" i="45" s="1"/>
  <c r="H147" i="48"/>
  <c r="I147" i="48"/>
  <c r="E143" i="46"/>
  <c r="F143" i="46" s="1"/>
  <c r="E148" i="48"/>
  <c r="F148" i="48" s="1"/>
  <c r="B148" i="48"/>
  <c r="D150" i="38" l="1"/>
  <c r="G149" i="38"/>
  <c r="I149" i="38" s="1"/>
  <c r="E150" i="38"/>
  <c r="F150" i="38" s="1"/>
  <c r="F154" i="27"/>
  <c r="G154" i="27" s="1"/>
  <c r="I154" i="27" s="1"/>
  <c r="B149" i="38"/>
  <c r="H149" i="38"/>
  <c r="J153" i="27"/>
  <c r="E149" i="43"/>
  <c r="F149" i="43" s="1"/>
  <c r="H149" i="43" s="1"/>
  <c r="I155" i="4"/>
  <c r="J154" i="4"/>
  <c r="J155" i="4" s="1"/>
  <c r="B154" i="28"/>
  <c r="E149" i="41"/>
  <c r="F149" i="41" s="1"/>
  <c r="B149" i="41"/>
  <c r="J153" i="31"/>
  <c r="G150" i="39"/>
  <c r="I150" i="39" s="1"/>
  <c r="H150" i="39"/>
  <c r="D151" i="39"/>
  <c r="B154" i="31"/>
  <c r="F154" i="31"/>
  <c r="G154" i="31" s="1"/>
  <c r="E153" i="29"/>
  <c r="F153" i="29" s="1"/>
  <c r="H153" i="29" s="1"/>
  <c r="J152" i="29"/>
  <c r="D153" i="37"/>
  <c r="G152" i="37"/>
  <c r="I152" i="37" s="1"/>
  <c r="B152" i="37"/>
  <c r="H152" i="37"/>
  <c r="G152" i="30"/>
  <c r="I152" i="30" s="1"/>
  <c r="D153" i="30"/>
  <c r="E153" i="30" s="1"/>
  <c r="F153" i="30" s="1"/>
  <c r="H152" i="30"/>
  <c r="E150" i="40"/>
  <c r="F150" i="40" s="1"/>
  <c r="E148" i="42"/>
  <c r="F148" i="42" s="1"/>
  <c r="G148" i="42" s="1"/>
  <c r="I148" i="42" s="1"/>
  <c r="D149" i="48"/>
  <c r="G148" i="48"/>
  <c r="H143" i="46"/>
  <c r="G143" i="46"/>
  <c r="I143" i="46" s="1"/>
  <c r="D144" i="46"/>
  <c r="E144" i="46" s="1"/>
  <c r="F144" i="46" s="1"/>
  <c r="F154" i="28"/>
  <c r="G154" i="28" s="1"/>
  <c r="E146" i="44"/>
  <c r="F146" i="44" s="1"/>
  <c r="H150" i="47"/>
  <c r="I150" i="47"/>
  <c r="H145" i="45"/>
  <c r="D146" i="45"/>
  <c r="G145" i="45"/>
  <c r="I145" i="45" s="1"/>
  <c r="E151" i="47"/>
  <c r="F151" i="47" s="1"/>
  <c r="B151" i="47"/>
  <c r="I148" i="49"/>
  <c r="H148" i="49"/>
  <c r="E149" i="49"/>
  <c r="F149" i="49" s="1"/>
  <c r="B149" i="49"/>
  <c r="H154" i="27" l="1"/>
  <c r="H155" i="27" s="1"/>
  <c r="G150" i="38"/>
  <c r="I150" i="38" s="1"/>
  <c r="D151" i="38"/>
  <c r="E151" i="38" s="1"/>
  <c r="F151" i="38" s="1"/>
  <c r="B150" i="38"/>
  <c r="H150" i="38"/>
  <c r="I155" i="27"/>
  <c r="J154" i="27"/>
  <c r="J155" i="27" s="1"/>
  <c r="D150" i="43"/>
  <c r="E150" i="43" s="1"/>
  <c r="F150" i="43" s="1"/>
  <c r="G150" i="43" s="1"/>
  <c r="I150" i="43" s="1"/>
  <c r="G149" i="43"/>
  <c r="I149" i="43" s="1"/>
  <c r="G149" i="41"/>
  <c r="I149" i="41" s="1"/>
  <c r="D150" i="41"/>
  <c r="E150" i="41" s="1"/>
  <c r="F150" i="41" s="1"/>
  <c r="H149" i="41"/>
  <c r="H148" i="42"/>
  <c r="D154" i="29"/>
  <c r="B154" i="29" s="1"/>
  <c r="D149" i="42"/>
  <c r="B149" i="42" s="1"/>
  <c r="G153" i="29"/>
  <c r="I153" i="29" s="1"/>
  <c r="J153" i="29" s="1"/>
  <c r="B151" i="39"/>
  <c r="E151" i="39"/>
  <c r="F151" i="39" s="1"/>
  <c r="I154" i="31"/>
  <c r="H154" i="31"/>
  <c r="H155" i="31" s="1"/>
  <c r="B153" i="37"/>
  <c r="E153" i="37"/>
  <c r="F153" i="37" s="1"/>
  <c r="G153" i="30"/>
  <c r="I153" i="30" s="1"/>
  <c r="D154" i="30"/>
  <c r="B153" i="30"/>
  <c r="H153" i="30"/>
  <c r="J152" i="30"/>
  <c r="D151" i="40"/>
  <c r="H150" i="40"/>
  <c r="G150" i="40"/>
  <c r="I150" i="40" s="1"/>
  <c r="G151" i="47"/>
  <c r="D152" i="47"/>
  <c r="B146" i="45"/>
  <c r="I154" i="28"/>
  <c r="H154" i="28"/>
  <c r="H155" i="28" s="1"/>
  <c r="D150" i="49"/>
  <c r="G149" i="49"/>
  <c r="E146" i="45"/>
  <c r="F146" i="45" s="1"/>
  <c r="H146" i="45" s="1"/>
  <c r="H146" i="44"/>
  <c r="D147" i="44"/>
  <c r="G146" i="44"/>
  <c r="I146" i="44" s="1"/>
  <c r="D145" i="46"/>
  <c r="G144" i="46"/>
  <c r="I144" i="46" s="1"/>
  <c r="H148" i="48"/>
  <c r="I148" i="48"/>
  <c r="B144" i="46"/>
  <c r="H144" i="46"/>
  <c r="E149" i="48"/>
  <c r="F149" i="48" s="1"/>
  <c r="B149" i="48"/>
  <c r="D152" i="38" l="1"/>
  <c r="G151" i="38"/>
  <c r="I151" i="38" s="1"/>
  <c r="E152" i="38"/>
  <c r="F152" i="38" s="1"/>
  <c r="B151" i="38"/>
  <c r="H151" i="38"/>
  <c r="D151" i="43"/>
  <c r="E151" i="43" s="1"/>
  <c r="F151" i="43" s="1"/>
  <c r="D152" i="43" s="1"/>
  <c r="E152" i="43" s="1"/>
  <c r="F152" i="43" s="1"/>
  <c r="H150" i="43"/>
  <c r="B150" i="43"/>
  <c r="D151" i="41"/>
  <c r="G150" i="41"/>
  <c r="I150" i="41" s="1"/>
  <c r="B150" i="41"/>
  <c r="H150" i="41"/>
  <c r="E149" i="42"/>
  <c r="F149" i="42" s="1"/>
  <c r="D150" i="42" s="1"/>
  <c r="E150" i="42" s="1"/>
  <c r="F150" i="42" s="1"/>
  <c r="B151" i="43"/>
  <c r="H151" i="43"/>
  <c r="E154" i="29"/>
  <c r="E155" i="29" s="1"/>
  <c r="H151" i="39"/>
  <c r="G151" i="39"/>
  <c r="I151" i="39" s="1"/>
  <c r="D152" i="39"/>
  <c r="J154" i="31"/>
  <c r="J155" i="31" s="1"/>
  <c r="I155" i="31"/>
  <c r="D154" i="37"/>
  <c r="E154" i="37" s="1"/>
  <c r="E155" i="37" s="1"/>
  <c r="G153" i="37"/>
  <c r="I153" i="37" s="1"/>
  <c r="H153" i="37"/>
  <c r="B154" i="30"/>
  <c r="J153" i="30"/>
  <c r="E154" i="30"/>
  <c r="E155" i="30" s="1"/>
  <c r="B151" i="40"/>
  <c r="E151" i="40"/>
  <c r="F151" i="40" s="1"/>
  <c r="I149" i="49"/>
  <c r="H149" i="49"/>
  <c r="D150" i="48"/>
  <c r="G149" i="48"/>
  <c r="E145" i="46"/>
  <c r="F145" i="46" s="1"/>
  <c r="B145" i="46"/>
  <c r="G146" i="45"/>
  <c r="I146" i="45" s="1"/>
  <c r="D147" i="45"/>
  <c r="B147" i="45" s="1"/>
  <c r="E150" i="49"/>
  <c r="F150" i="49" s="1"/>
  <c r="B150" i="49"/>
  <c r="H149" i="42"/>
  <c r="E152" i="47"/>
  <c r="F152" i="47" s="1"/>
  <c r="B152" i="47"/>
  <c r="E147" i="44"/>
  <c r="F147" i="44" s="1"/>
  <c r="B147" i="44"/>
  <c r="J154" i="28"/>
  <c r="J155" i="28" s="1"/>
  <c r="I155" i="28"/>
  <c r="H151" i="47"/>
  <c r="I151" i="47"/>
  <c r="D153" i="38" l="1"/>
  <c r="G152" i="38"/>
  <c r="I152" i="38" s="1"/>
  <c r="E153" i="38"/>
  <c r="F153" i="38" s="1"/>
  <c r="G151" i="43"/>
  <c r="I151" i="43" s="1"/>
  <c r="B152" i="38"/>
  <c r="H152" i="38"/>
  <c r="G149" i="42"/>
  <c r="I149" i="42" s="1"/>
  <c r="F154" i="29"/>
  <c r="G154" i="29" s="1"/>
  <c r="H154" i="29" s="1"/>
  <c r="H155" i="29" s="1"/>
  <c r="B151" i="41"/>
  <c r="G152" i="43"/>
  <c r="I152" i="43" s="1"/>
  <c r="D153" i="43"/>
  <c r="E153" i="43" s="1"/>
  <c r="F153" i="43" s="1"/>
  <c r="E151" i="41"/>
  <c r="F151" i="41" s="1"/>
  <c r="H151" i="41" s="1"/>
  <c r="B152" i="43"/>
  <c r="H152" i="43"/>
  <c r="B152" i="39"/>
  <c r="E152" i="39"/>
  <c r="F152" i="39" s="1"/>
  <c r="B154" i="37"/>
  <c r="F154" i="37"/>
  <c r="G154" i="37" s="1"/>
  <c r="F154" i="30"/>
  <c r="G154" i="30" s="1"/>
  <c r="H151" i="40"/>
  <c r="D152" i="40"/>
  <c r="E152" i="40" s="1"/>
  <c r="F152" i="40" s="1"/>
  <c r="G151" i="40"/>
  <c r="I151" i="40" s="1"/>
  <c r="G152" i="47"/>
  <c r="D153" i="47"/>
  <c r="D151" i="42"/>
  <c r="B151" i="42" s="1"/>
  <c r="G150" i="42"/>
  <c r="I150" i="42" s="1"/>
  <c r="G145" i="46"/>
  <c r="I145" i="46" s="1"/>
  <c r="D146" i="46"/>
  <c r="E146" i="46" s="1"/>
  <c r="F146" i="46" s="1"/>
  <c r="G147" i="44"/>
  <c r="I147" i="44" s="1"/>
  <c r="D148" i="44"/>
  <c r="G150" i="49"/>
  <c r="D151" i="49"/>
  <c r="H149" i="48"/>
  <c r="I149" i="48"/>
  <c r="H145" i="46"/>
  <c r="E150" i="48"/>
  <c r="F150" i="48" s="1"/>
  <c r="B150" i="48"/>
  <c r="H147" i="44"/>
  <c r="B150" i="42"/>
  <c r="H150" i="42"/>
  <c r="E147" i="45"/>
  <c r="F147" i="45" s="1"/>
  <c r="G153" i="38" l="1"/>
  <c r="I153" i="38" s="1"/>
  <c r="D154" i="38"/>
  <c r="B153" i="38"/>
  <c r="H153" i="38"/>
  <c r="I154" i="29"/>
  <c r="J154" i="29" s="1"/>
  <c r="J155" i="29" s="1"/>
  <c r="G153" i="43"/>
  <c r="I153" i="43" s="1"/>
  <c r="D154" i="43"/>
  <c r="E154" i="43" s="1"/>
  <c r="E155" i="43" s="1"/>
  <c r="B153" i="43"/>
  <c r="H153" i="43"/>
  <c r="G151" i="41"/>
  <c r="I151" i="41" s="1"/>
  <c r="D152" i="41"/>
  <c r="E152" i="41" s="1"/>
  <c r="F152" i="41" s="1"/>
  <c r="D153" i="39"/>
  <c r="B153" i="39" s="1"/>
  <c r="G152" i="39"/>
  <c r="I152" i="39" s="1"/>
  <c r="H152" i="39"/>
  <c r="H154" i="37"/>
  <c r="H155" i="37" s="1"/>
  <c r="I154" i="37"/>
  <c r="I155" i="37" s="1"/>
  <c r="H154" i="30"/>
  <c r="H155" i="30" s="1"/>
  <c r="I154" i="30"/>
  <c r="B152" i="40"/>
  <c r="H152" i="40"/>
  <c r="D153" i="40"/>
  <c r="G152" i="40"/>
  <c r="I152" i="40" s="1"/>
  <c r="G146" i="46"/>
  <c r="I146" i="46" s="1"/>
  <c r="D147" i="46"/>
  <c r="D151" i="48"/>
  <c r="G150" i="48"/>
  <c r="H150" i="49"/>
  <c r="I150" i="49"/>
  <c r="B146" i="46"/>
  <c r="H146" i="46"/>
  <c r="E153" i="47"/>
  <c r="F153" i="47" s="1"/>
  <c r="B153" i="47"/>
  <c r="H147" i="45"/>
  <c r="D148" i="45"/>
  <c r="G147" i="45"/>
  <c r="I147" i="45" s="1"/>
  <c r="E151" i="49"/>
  <c r="F151" i="49" s="1"/>
  <c r="B151" i="49"/>
  <c r="E148" i="44"/>
  <c r="F148" i="44" s="1"/>
  <c r="H148" i="44" s="1"/>
  <c r="B148" i="44"/>
  <c r="E151" i="42"/>
  <c r="F151" i="42" s="1"/>
  <c r="I152" i="47"/>
  <c r="H152" i="47"/>
  <c r="E154" i="38" l="1"/>
  <c r="E155" i="38" s="1"/>
  <c r="B154" i="38"/>
  <c r="F154" i="38"/>
  <c r="G154" i="38" s="1"/>
  <c r="I155" i="29"/>
  <c r="G152" i="41"/>
  <c r="I152" i="41" s="1"/>
  <c r="D153" i="41"/>
  <c r="B152" i="41"/>
  <c r="H152" i="41"/>
  <c r="B154" i="43"/>
  <c r="F154" i="43"/>
  <c r="G154" i="43" s="1"/>
  <c r="E153" i="39"/>
  <c r="F153" i="39" s="1"/>
  <c r="J154" i="30"/>
  <c r="J155" i="30" s="1"/>
  <c r="I155" i="30"/>
  <c r="B153" i="40"/>
  <c r="E153" i="40"/>
  <c r="F153" i="40" s="1"/>
  <c r="G153" i="47"/>
  <c r="D154" i="47"/>
  <c r="H151" i="42"/>
  <c r="G151" i="42"/>
  <c r="I151" i="42" s="1"/>
  <c r="D152" i="42"/>
  <c r="B152" i="42" s="1"/>
  <c r="D152" i="49"/>
  <c r="G151" i="49"/>
  <c r="H150" i="48"/>
  <c r="I150" i="48"/>
  <c r="B148" i="45"/>
  <c r="E151" i="48"/>
  <c r="F151" i="48" s="1"/>
  <c r="B151" i="48"/>
  <c r="E147" i="46"/>
  <c r="F147" i="46" s="1"/>
  <c r="H147" i="46" s="1"/>
  <c r="B147" i="46"/>
  <c r="D149" i="44"/>
  <c r="G148" i="44"/>
  <c r="I148" i="44" s="1"/>
  <c r="E148" i="45"/>
  <c r="F148" i="45" s="1"/>
  <c r="H148" i="45" s="1"/>
  <c r="H154" i="38" l="1"/>
  <c r="H155" i="38" s="1"/>
  <c r="I154" i="38"/>
  <c r="I155" i="38" s="1"/>
  <c r="H154" i="43"/>
  <c r="H155" i="43" s="1"/>
  <c r="I154" i="43"/>
  <c r="I155" i="43" s="1"/>
  <c r="E153" i="41"/>
  <c r="F153" i="41" s="1"/>
  <c r="B153" i="41"/>
  <c r="D154" i="39"/>
  <c r="G153" i="39"/>
  <c r="I153" i="39" s="1"/>
  <c r="H153" i="39"/>
  <c r="E152" i="42"/>
  <c r="F152" i="42" s="1"/>
  <c r="H152" i="42" s="1"/>
  <c r="G153" i="40"/>
  <c r="I153" i="40" s="1"/>
  <c r="D154" i="40"/>
  <c r="H153" i="40"/>
  <c r="D148" i="46"/>
  <c r="B148" i="46" s="1"/>
  <c r="G147" i="46"/>
  <c r="I147" i="46" s="1"/>
  <c r="H151" i="49"/>
  <c r="I151" i="49"/>
  <c r="B149" i="44"/>
  <c r="G151" i="48"/>
  <c r="D152" i="48"/>
  <c r="E152" i="49"/>
  <c r="F152" i="49" s="1"/>
  <c r="B152" i="49"/>
  <c r="G148" i="45"/>
  <c r="I148" i="45" s="1"/>
  <c r="D149" i="45"/>
  <c r="E154" i="47"/>
  <c r="E155" i="47" s="1"/>
  <c r="B154" i="47"/>
  <c r="E149" i="44"/>
  <c r="F149" i="44" s="1"/>
  <c r="H153" i="47"/>
  <c r="I153" i="47"/>
  <c r="D154" i="41" l="1"/>
  <c r="E154" i="41" s="1"/>
  <c r="E155" i="41" s="1"/>
  <c r="G153" i="41"/>
  <c r="I153" i="41" s="1"/>
  <c r="G152" i="42"/>
  <c r="I152" i="42" s="1"/>
  <c r="D153" i="42"/>
  <c r="B153" i="42" s="1"/>
  <c r="H153" i="41"/>
  <c r="E154" i="39"/>
  <c r="B154" i="39"/>
  <c r="F154" i="47"/>
  <c r="G154" i="47" s="1"/>
  <c r="H154" i="47" s="1"/>
  <c r="H155" i="47" s="1"/>
  <c r="B154" i="40"/>
  <c r="E154" i="40"/>
  <c r="E155" i="40" s="1"/>
  <c r="D153" i="49"/>
  <c r="G152" i="49"/>
  <c r="B149" i="45"/>
  <c r="E152" i="48"/>
  <c r="F152" i="48" s="1"/>
  <c r="B152" i="48"/>
  <c r="H151" i="48"/>
  <c r="I151" i="48"/>
  <c r="D150" i="44"/>
  <c r="B150" i="44" s="1"/>
  <c r="G149" i="44"/>
  <c r="I149" i="44" s="1"/>
  <c r="E149" i="45"/>
  <c r="F149" i="45" s="1"/>
  <c r="H149" i="45" s="1"/>
  <c r="H149" i="44"/>
  <c r="E148" i="46"/>
  <c r="F148" i="46" s="1"/>
  <c r="E153" i="42" l="1"/>
  <c r="F153" i="42" s="1"/>
  <c r="G153" i="42" s="1"/>
  <c r="I153" i="42" s="1"/>
  <c r="B154" i="41"/>
  <c r="F154" i="41"/>
  <c r="G154" i="41" s="1"/>
  <c r="E155" i="39"/>
  <c r="F154" i="39"/>
  <c r="G154" i="39" s="1"/>
  <c r="I154" i="47"/>
  <c r="I155" i="47" s="1"/>
  <c r="F154" i="40"/>
  <c r="G154" i="40" s="1"/>
  <c r="H153" i="42"/>
  <c r="D153" i="48"/>
  <c r="G152" i="48"/>
  <c r="H148" i="46"/>
  <c r="D149" i="46"/>
  <c r="B149" i="46" s="1"/>
  <c r="G148" i="46"/>
  <c r="I148" i="46" s="1"/>
  <c r="E150" i="44"/>
  <c r="F150" i="44" s="1"/>
  <c r="I152" i="49"/>
  <c r="H152" i="49"/>
  <c r="G149" i="45"/>
  <c r="I149" i="45" s="1"/>
  <c r="D150" i="45"/>
  <c r="E153" i="49"/>
  <c r="F153" i="49" s="1"/>
  <c r="B153" i="49"/>
  <c r="D154" i="42" l="1"/>
  <c r="E154" i="42" s="1"/>
  <c r="E155" i="42" s="1"/>
  <c r="H154" i="41"/>
  <c r="H155" i="41" s="1"/>
  <c r="I154" i="41"/>
  <c r="I155" i="41" s="1"/>
  <c r="H154" i="39"/>
  <c r="H155" i="39" s="1"/>
  <c r="I154" i="39"/>
  <c r="I155" i="39" s="1"/>
  <c r="H154" i="40"/>
  <c r="H155" i="40" s="1"/>
  <c r="I154" i="40"/>
  <c r="I155" i="40" s="1"/>
  <c r="G153" i="49"/>
  <c r="D154" i="49"/>
  <c r="H150" i="44"/>
  <c r="G150" i="44"/>
  <c r="I150" i="44" s="1"/>
  <c r="D151" i="44"/>
  <c r="B151" i="44" s="1"/>
  <c r="E150" i="45"/>
  <c r="F150" i="45" s="1"/>
  <c r="H150" i="45" s="1"/>
  <c r="B150" i="45"/>
  <c r="E149" i="46"/>
  <c r="F149" i="46" s="1"/>
  <c r="H152" i="48"/>
  <c r="I152" i="48"/>
  <c r="E153" i="48"/>
  <c r="F153" i="48" s="1"/>
  <c r="B153" i="48"/>
  <c r="F154" i="42" l="1"/>
  <c r="G154" i="42" s="1"/>
  <c r="H154" i="42" s="1"/>
  <c r="H155" i="42" s="1"/>
  <c r="B154" i="42"/>
  <c r="E151" i="44"/>
  <c r="F151" i="44" s="1"/>
  <c r="H151" i="44" s="1"/>
  <c r="D154" i="48"/>
  <c r="G153" i="48"/>
  <c r="H149" i="46"/>
  <c r="G149" i="46"/>
  <c r="I149" i="46" s="1"/>
  <c r="D150" i="46"/>
  <c r="B150" i="46" s="1"/>
  <c r="I154" i="42"/>
  <c r="I155" i="42" s="1"/>
  <c r="E154" i="49"/>
  <c r="E155" i="49" s="1"/>
  <c r="B154" i="49"/>
  <c r="D151" i="45"/>
  <c r="B151" i="45" s="1"/>
  <c r="G150" i="45"/>
  <c r="I150" i="45" s="1"/>
  <c r="I153" i="49"/>
  <c r="H153" i="49"/>
  <c r="G151" i="44" l="1"/>
  <c r="I151" i="44" s="1"/>
  <c r="D152" i="44"/>
  <c r="B152" i="44" s="1"/>
  <c r="F154" i="49"/>
  <c r="G154" i="49" s="1"/>
  <c r="H154" i="49" s="1"/>
  <c r="H155" i="49" s="1"/>
  <c r="E150" i="46"/>
  <c r="F150" i="46" s="1"/>
  <c r="H153" i="48"/>
  <c r="I153" i="48"/>
  <c r="E151" i="45"/>
  <c r="F151" i="45" s="1"/>
  <c r="E154" i="48"/>
  <c r="E155" i="48" s="1"/>
  <c r="B154" i="48"/>
  <c r="E152" i="44" l="1"/>
  <c r="F152" i="44" s="1"/>
  <c r="H152" i="44" s="1"/>
  <c r="I154" i="49"/>
  <c r="I155" i="49" s="1"/>
  <c r="F154" i="48"/>
  <c r="G154" i="48" s="1"/>
  <c r="I154" i="48" s="1"/>
  <c r="I155" i="48" s="1"/>
  <c r="H150" i="46"/>
  <c r="G150" i="46"/>
  <c r="I150" i="46" s="1"/>
  <c r="D151" i="46"/>
  <c r="E151" i="46" s="1"/>
  <c r="F151" i="46" s="1"/>
  <c r="H151" i="45"/>
  <c r="D152" i="45"/>
  <c r="G151" i="45"/>
  <c r="I151" i="45" s="1"/>
  <c r="H154" i="48" l="1"/>
  <c r="H155" i="48" s="1"/>
  <c r="D153" i="44"/>
  <c r="E153" i="44" s="1"/>
  <c r="F153" i="44" s="1"/>
  <c r="G152" i="44"/>
  <c r="I152" i="44" s="1"/>
  <c r="D152" i="46"/>
  <c r="B152" i="46" s="1"/>
  <c r="G151" i="46"/>
  <c r="I151" i="46" s="1"/>
  <c r="E152" i="45"/>
  <c r="F152" i="45" s="1"/>
  <c r="H152" i="45" s="1"/>
  <c r="B152" i="45"/>
  <c r="B151" i="46"/>
  <c r="H151" i="46"/>
  <c r="B153" i="44" l="1"/>
  <c r="E152" i="46"/>
  <c r="F152" i="46" s="1"/>
  <c r="G152" i="46" s="1"/>
  <c r="I152" i="46" s="1"/>
  <c r="H153" i="44"/>
  <c r="D154" i="44"/>
  <c r="G153" i="44"/>
  <c r="I153" i="44" s="1"/>
  <c r="G152" i="45"/>
  <c r="I152" i="45" s="1"/>
  <c r="D153" i="45"/>
  <c r="H152" i="46" l="1"/>
  <c r="D153" i="46"/>
  <c r="B153" i="46" s="1"/>
  <c r="E154" i="44"/>
  <c r="E155" i="44" s="1"/>
  <c r="B154" i="44"/>
  <c r="E153" i="45"/>
  <c r="F153" i="45" s="1"/>
  <c r="B153" i="45"/>
  <c r="E153" i="46" l="1"/>
  <c r="F153" i="46" s="1"/>
  <c r="H153" i="46" s="1"/>
  <c r="F154" i="44"/>
  <c r="G154" i="44" s="1"/>
  <c r="I154" i="44" s="1"/>
  <c r="I155" i="44" s="1"/>
  <c r="H153" i="45"/>
  <c r="D154" i="45"/>
  <c r="G153" i="45"/>
  <c r="I153" i="45" s="1"/>
  <c r="H154" i="44" l="1"/>
  <c r="H155" i="44" s="1"/>
  <c r="D154" i="46"/>
  <c r="E154" i="46" s="1"/>
  <c r="E155" i="46" s="1"/>
  <c r="G153" i="46"/>
  <c r="I153" i="46" s="1"/>
  <c r="E154" i="45"/>
  <c r="E155" i="45" s="1"/>
  <c r="B154" i="45"/>
  <c r="B154" i="46" l="1"/>
  <c r="F154" i="46"/>
  <c r="G154" i="46" s="1"/>
  <c r="I154" i="46" s="1"/>
  <c r="I155" i="46" s="1"/>
  <c r="F154" i="45"/>
  <c r="G154" i="45" s="1"/>
  <c r="H154" i="46" l="1"/>
  <c r="H155" i="46" s="1"/>
  <c r="H154" i="45"/>
  <c r="H155" i="45" s="1"/>
  <c r="I154" i="45"/>
  <c r="I155" i="45" s="1"/>
  <c r="Q30" i="17" l="1"/>
  <c r="R30" i="17" s="1"/>
  <c r="T30" i="17" s="1"/>
  <c r="Q20" i="17"/>
  <c r="R20" i="17" s="1"/>
  <c r="T20" i="17" s="1"/>
  <c r="Q27" i="17"/>
  <c r="R27" i="17" s="1"/>
  <c r="T27" i="17" s="1"/>
  <c r="Q45" i="17"/>
  <c r="R45" i="17" s="1"/>
  <c r="T45" i="17" s="1"/>
  <c r="Q19" i="17"/>
  <c r="R19" i="17" s="1"/>
  <c r="T19" i="17" s="1"/>
  <c r="Q21" i="17"/>
  <c r="R21" i="17" s="1"/>
  <c r="T21" i="17" s="1"/>
  <c r="Q23" i="17"/>
  <c r="R23" i="17" s="1"/>
  <c r="T23" i="17" s="1"/>
  <c r="Q36" i="17"/>
  <c r="R36" i="17" s="1"/>
  <c r="T36" i="17" s="1"/>
  <c r="Q24" i="17"/>
  <c r="R24" i="17" s="1"/>
  <c r="T24" i="17" s="1"/>
  <c r="Q41" i="17"/>
  <c r="R41" i="17" s="1"/>
  <c r="T41" i="17" s="1"/>
  <c r="Q48" i="17"/>
  <c r="R48" i="17" s="1"/>
  <c r="T48" i="17" s="1"/>
  <c r="Q33" i="17"/>
  <c r="R33" i="17" s="1"/>
  <c r="T33" i="17" s="1"/>
  <c r="Q42" i="17"/>
  <c r="R42" i="17" s="1"/>
  <c r="T42" i="17" s="1"/>
  <c r="Q26" i="17"/>
  <c r="R26" i="17" s="1"/>
  <c r="T26" i="17" s="1"/>
  <c r="Q28" i="17"/>
  <c r="R28" i="17" s="1"/>
  <c r="T28" i="17" s="1"/>
  <c r="Q37" i="17"/>
  <c r="R37" i="17" s="1"/>
  <c r="T37" i="17" s="1"/>
  <c r="Q29" i="17"/>
  <c r="R29" i="17" s="1"/>
  <c r="T29" i="17" s="1"/>
  <c r="Q40" i="17"/>
  <c r="R40" i="17" s="1"/>
  <c r="T40" i="17" s="1"/>
  <c r="Q47" i="17"/>
  <c r="R47" i="17" s="1"/>
  <c r="T47" i="17" s="1"/>
  <c r="Q22" i="17"/>
  <c r="R22" i="17" s="1"/>
  <c r="T22" i="17" s="1"/>
  <c r="Q31" i="17"/>
  <c r="R31" i="17" s="1"/>
  <c r="T31" i="17" s="1"/>
  <c r="Q32" i="17"/>
  <c r="R32" i="17" s="1"/>
  <c r="T32" i="17" s="1"/>
  <c r="Q38" i="17"/>
  <c r="R38" i="17" s="1"/>
  <c r="T38" i="17" s="1"/>
  <c r="Q39" i="17"/>
  <c r="R39" i="17" s="1"/>
  <c r="T39" i="17" s="1"/>
  <c r="Q35" i="17"/>
  <c r="R35" i="17" s="1"/>
  <c r="T35" i="17" s="1"/>
  <c r="Q18" i="17"/>
  <c r="R18" i="17" s="1"/>
  <c r="Q46" i="17"/>
  <c r="R46" i="17" s="1"/>
  <c r="T46" i="17" s="1"/>
  <c r="Q43" i="17"/>
  <c r="R43" i="17" s="1"/>
  <c r="T43" i="17" s="1"/>
  <c r="Q34" i="17"/>
  <c r="R34" i="17" s="1"/>
  <c r="T34" i="17" s="1"/>
  <c r="Q44" i="17"/>
  <c r="R44" i="17" s="1"/>
  <c r="T44" i="17" s="1"/>
  <c r="Q25" i="17"/>
  <c r="R25" i="17" s="1"/>
  <c r="T25" i="17" s="1"/>
  <c r="R50" i="17" l="1"/>
  <c r="T18" i="17"/>
  <c r="T50" i="17" s="1"/>
  <c r="Q5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  <author>AEP</author>
    <author>rlp</author>
    <author>S177040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50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50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</authors>
  <commentList>
    <comment ref="L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Williamson</author>
    <author>rlp</author>
  </authors>
  <commentList>
    <comment ref="O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G1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2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<sst xmlns="http://schemas.openxmlformats.org/spreadsheetml/2006/main" count="4047" uniqueCount="367">
  <si>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</si>
  <si>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</si>
  <si>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</si>
  <si>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</si>
  <si>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</si>
  <si>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</si>
  <si>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</si>
  <si>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</si>
  <si>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</si>
  <si>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</si>
  <si>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</si>
  <si>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</si>
  <si>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</si>
  <si>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</si>
  <si>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</si>
  <si>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</si>
  <si>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</si>
  <si>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</si>
  <si>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</si>
  <si>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</si>
  <si>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</si>
  <si>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</si>
  <si>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</si>
  <si>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</si>
  <si>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</si>
  <si>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</si>
  <si>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</si>
  <si>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</si>
  <si>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</si>
  <si>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</si>
  <si>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</si>
  <si>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</si>
  <si>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</si>
  <si>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</si>
  <si>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</si>
  <si>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</si>
  <si>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</si>
  <si>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</si>
  <si>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</si>
  <si>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</si>
  <si>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</si>
  <si>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</si>
  <si>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</si>
  <si>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</si>
  <si>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</si>
  <si>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</si>
  <si>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</si>
  <si>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</si>
  <si>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</si>
  <si>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</si>
  <si>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</si>
  <si>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</si>
  <si>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</si>
  <si>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</si>
  <si>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</si>
  <si>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</si>
  <si>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</si>
  <si>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</si>
  <si>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</si>
  <si>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</si>
  <si>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</si>
  <si>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</si>
  <si>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</si>
  <si>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</si>
  <si>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</si>
  <si>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</si>
  <si>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</si>
  <si>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</si>
  <si>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</si>
  <si>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</si>
  <si>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</si>
  <si>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</si>
  <si>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</si>
  <si>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</si>
  <si>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</si>
  <si>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</si>
  <si>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</si>
  <si>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</si>
  <si>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</si>
  <si>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</si>
  <si>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</si>
  <si>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</si>
  <si>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</si>
  <si>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</si>
  <si>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</si>
  <si>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</si>
  <si>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</si>
  <si>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</si>
  <si>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</si>
  <si>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</si>
  <si>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</si>
  <si>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</si>
  <si>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</si>
  <si>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</si>
  <si>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</si>
  <si>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</si>
  <si>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</si>
  <si>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</si>
  <si>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</si>
  <si>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</si>
  <si>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</si>
  <si>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</si>
  <si>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</si>
  <si>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</si>
  <si>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</si>
  <si>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</si>
  <si>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</si>
  <si>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</si>
  <si>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</si>
  <si>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</si>
  <si>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</si>
  <si>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</si>
  <si>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</si>
  <si>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</si>
  <si>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</si>
  <si>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</si>
  <si>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</si>
  <si>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</si>
  <si>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</si>
  <si>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</si>
  <si>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</si>
  <si>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</si>
  <si>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</si>
  <si>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</si>
  <si>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</si>
  <si>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</si>
  <si>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</si>
  <si>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</si>
  <si>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</si>
  <si>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</si>
  <si>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</si>
  <si>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</si>
  <si>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</si>
  <si>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</si>
  <si>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</si>
  <si>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</si>
  <si>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</si>
  <si>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</si>
  <si>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</si>
  <si>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</si>
  <si>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</si>
  <si>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</si>
  <si>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</si>
  <si>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</si>
  <si>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</si>
  <si>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</si>
  <si>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</si>
  <si>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</si>
  <si>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</si>
  <si>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</si>
  <si>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</si>
  <si>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</si>
  <si>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</si>
  <si>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</si>
  <si>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</si>
  <si>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</si>
  <si>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</si>
  <si>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</si>
  <si>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</si>
  <si>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</si>
  <si>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</si>
  <si>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</si>
  <si>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</si>
  <si>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</si>
  <si>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</si>
  <si>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</si>
  <si>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</si>
  <si>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</si>
  <si>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</si>
  <si>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</si>
  <si>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</si>
  <si>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</si>
  <si>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</si>
  <si>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</si>
  <si>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</si>
  <si>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</si>
  <si>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</si>
  <si>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</si>
  <si>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</si>
  <si>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</si>
  <si>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</si>
  <si>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</si>
  <si>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</si>
  <si>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</si>
  <si>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</si>
  <si>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</si>
  <si>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</si>
  <si>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</si>
  <si>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</si>
  <si>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</si>
  <si>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</si>
  <si>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</si>
  <si>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</si>
  <si>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</si>
  <si>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</si>
  <si>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</si>
  <si>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</si>
  <si>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</si>
  <si>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</si>
  <si>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</si>
  <si>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</si>
  <si>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</si>
  <si>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</si>
  <si>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</si>
  <si>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</si>
  <si>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</si>
  <si>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</si>
  <si>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</si>
  <si>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</si>
  <si>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</si>
  <si>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</si>
  <si>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</si>
  <si>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</si>
  <si>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</si>
  <si>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</si>
  <si>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</si>
  <si>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</si>
  <si>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</si>
  <si>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</si>
  <si>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</si>
  <si>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</si>
  <si>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</si>
  <si>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</si>
  <si>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</si>
  <si>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</si>
  <si>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</si>
  <si>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</si>
  <si>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</si>
  <si>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</si>
  <si>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</si>
  <si>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</si>
  <si>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</si>
  <si>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</si>
  <si>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</si>
  <si>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</si>
  <si>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</si>
  <si>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</si>
  <si>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</si>
  <si>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</si>
  <si>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</si>
  <si>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</si>
  <si>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</si>
  <si>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</si>
  <si>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</si>
  <si>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</si>
  <si>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</si>
  <si>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</si>
  <si>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</si>
  <si>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</si>
  <si>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</si>
  <si>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</si>
  <si>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</si>
  <si>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</si>
  <si>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</si>
  <si>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</si>
  <si>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</si>
  <si>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</si>
  <si>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</si>
  <si>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</si>
  <si>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</si>
  <si>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</si>
  <si>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</si>
  <si>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</si>
  <si>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</si>
  <si>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</si>
  <si>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</si>
  <si>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</si>
  <si>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</si>
  <si>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</si>
  <si>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</si>
  <si>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</si>
  <si>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</si>
  <si>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</si>
  <si>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</si>
  <si>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</si>
  <si>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</si>
  <si>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</si>
  <si>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</si>
  <si>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</si>
  <si>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</si>
  <si>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</si>
  <si>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</si>
  <si>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</si>
  <si>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</si>
  <si>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</si>
  <si>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</si>
  <si>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</si>
  <si>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</si>
  <si>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</si>
  <si>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</si>
  <si>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</si>
  <si>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</si>
  <si>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</si>
  <si>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</si>
  <si>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</si>
  <si>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</si>
  <si>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</si>
  <si>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</si>
  <si>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</si>
  <si>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</si>
  <si>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</si>
  <si>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</si>
  <si>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</si>
  <si>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</si>
  <si>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</si>
  <si>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</si>
  <si>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</si>
  <si>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</si>
  <si>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</si>
  <si>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(Projected TCOS, ln 148)</t>
  </si>
  <si>
    <t>Annual Depreciation Expense  (Historic TCOS, ln 244)</t>
  </si>
  <si>
    <t>Fort Towson-Valliant Line Rebuild</t>
  </si>
  <si>
    <t>TP2015204</t>
  </si>
  <si>
    <t>P.025</t>
  </si>
  <si>
    <t xml:space="preserve">   Excess DFIT Adjustment  (TCOS, ln 109)</t>
  </si>
  <si>
    <t xml:space="preserve">   Tax Effect of Permanent and Flow Through Differences (TCOS, ln 110)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</si>
  <si>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</si>
  <si>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</si>
  <si>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</si>
  <si>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</si>
  <si>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</si>
  <si>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</si>
  <si>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</si>
  <si>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</si>
  <si>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</si>
  <si>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</si>
  <si>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</si>
  <si>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</si>
  <si>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</si>
  <si>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</si>
  <si>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</si>
  <si>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</si>
  <si>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</si>
  <si>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</si>
  <si>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>P.028</t>
  </si>
  <si>
    <t>Transmission Plant Average Balance for 2020</t>
  </si>
  <si>
    <t>True-Up ARR CY 2021 From Worksheet G  (includes adjustment for SPP Collections)</t>
  </si>
  <si>
    <t>TP2015118</t>
  </si>
  <si>
    <t xml:space="preserve">  SPP Project ID = 30809</t>
  </si>
  <si>
    <t>Tulsa SE - E 21st St Tap 138 kV</t>
  </si>
  <si>
    <t xml:space="preserve">  SPP Project ID = 81523</t>
  </si>
  <si>
    <t>P.029</t>
  </si>
  <si>
    <t>TP2020033</t>
  </si>
  <si>
    <t>Pryor Junction 138/115 kV</t>
  </si>
  <si>
    <t>TP2019132</t>
  </si>
  <si>
    <t xml:space="preserve">  SPP Project ID = 81571</t>
  </si>
  <si>
    <t>Tulsa SE - S Hudson 138 kV</t>
  </si>
  <si>
    <t>TP20033002</t>
  </si>
  <si>
    <t xml:space="preserve">  SPP Project ID = 81520</t>
  </si>
  <si>
    <t>P.030</t>
  </si>
  <si>
    <t>P.031</t>
  </si>
  <si>
    <t xml:space="preserve"> 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</si>
  <si>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</si>
  <si>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</si>
  <si>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</si>
  <si>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</si>
  <si>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</si>
  <si>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</si>
  <si>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</si>
  <si>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</si>
  <si>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</si>
  <si>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</si>
  <si>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Transmission Plant Average Balance for 2022 (WS A-1 Ln 14 Col (d))</t>
  </si>
  <si>
    <t>Annual Depreciation Expense  (TCOS, ln 86)</t>
  </si>
  <si>
    <t>PSO Project 29 of 31</t>
  </si>
  <si>
    <t>PSO Project 30 of 31</t>
  </si>
  <si>
    <t>PSO Project 31 of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</si>
</sst>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color rgb="FF0033CC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72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64" fillId="27" borderId="0" xfId="117" applyNumberFormat="1" applyFont="1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170" fontId="1" fillId="61" borderId="0" xfId="0" applyNumberFormat="1" applyFont="1" applyFill="1" applyBorder="1" applyProtection="1"/>
    <xf numFmtId="170" fontId="1" fillId="61" borderId="24" xfId="117" applyNumberFormat="1" applyFont="1" applyFill="1" applyBorder="1" applyProtection="1"/>
    <xf numFmtId="170" fontId="1" fillId="61" borderId="25" xfId="0" applyNumberFormat="1" applyFont="1" applyFill="1" applyBorder="1" applyProtection="1"/>
    <xf numFmtId="170" fontId="1" fillId="61" borderId="14" xfId="117" applyNumberFormat="1" applyFont="1" applyFill="1" applyBorder="1" applyProtection="1"/>
    <xf numFmtId="170" fontId="122" fillId="61" borderId="0" xfId="0" applyNumberFormat="1" applyFont="1" applyFill="1" applyBorder="1" applyProtection="1"/>
    <xf numFmtId="170" fontId="122" fillId="61" borderId="25" xfId="117" applyNumberFormat="1" applyFont="1" applyFill="1" applyBorder="1" applyProtection="1"/>
    <xf numFmtId="170" fontId="122" fillId="61" borderId="14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171" fontId="1" fillId="0" borderId="25" xfId="0" applyNumberFormat="1" applyFont="1" applyBorder="1" applyProtection="1"/>
    <xf numFmtId="177" fontId="1" fillId="0" borderId="0" xfId="117" applyNumberFormat="1" applyAlignment="1" applyProtection="1">
      <alignment vertical="center"/>
    </xf>
    <xf numFmtId="170" fontId="121" fillId="62" borderId="42" xfId="0" applyNumberFormat="1" applyFont="1" applyFill="1" applyBorder="1" applyProtection="1"/>
    <xf numFmtId="170" fontId="54" fillId="62" borderId="41" xfId="0" applyNumberFormat="1" applyFont="1" applyFill="1" applyBorder="1" applyProtection="1"/>
    <xf numFmtId="170" fontId="54" fillId="62" borderId="42" xfId="0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70" fontId="1" fillId="0" borderId="0" xfId="117" applyNumberFormat="1" applyFont="1" applyProtection="1"/>
    <xf numFmtId="0" fontId="67" fillId="0" borderId="0" xfId="0" applyFont="1" applyAlignment="1">
      <alignment horizontal="right"/>
    </xf>
    <xf numFmtId="0" fontId="47" fillId="0" borderId="0" xfId="0" applyFont="1"/>
    <xf numFmtId="0" fontId="6" fillId="0" borderId="0" xfId="0" applyFont="1"/>
    <xf numFmtId="170" fontId="1" fillId="0" borderId="0" xfId="117" applyNumberFormat="1" applyFont="1" applyBorder="1" applyProtection="1"/>
    <xf numFmtId="0" fontId="14" fillId="0" borderId="0" xfId="549" applyNumberFormat="1" applyFont="1" applyProtection="1"/>
    <xf numFmtId="0" fontId="1" fillId="0" borderId="18" xfId="0" applyFont="1" applyBorder="1"/>
    <xf numFmtId="0" fontId="39" fillId="0" borderId="0" xfId="0" applyFont="1"/>
    <xf numFmtId="170" fontId="1" fillId="0" borderId="6" xfId="117" applyNumberFormat="1" applyFont="1" applyBorder="1" applyProtection="1"/>
    <xf numFmtId="170" fontId="1" fillId="0" borderId="16" xfId="117" applyNumberFormat="1" applyFont="1" applyBorder="1" applyProtection="1"/>
    <xf numFmtId="0" fontId="53" fillId="0" borderId="0" xfId="0" applyFont="1"/>
    <xf numFmtId="0" fontId="1" fillId="0" borderId="0" xfId="0" applyFont="1" applyAlignment="1">
      <alignment wrapText="1"/>
    </xf>
    <xf numFmtId="0" fontId="39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" fillId="0" borderId="13" xfId="0" quotePrefix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1" fillId="0" borderId="13" xfId="0" applyFont="1" applyBorder="1"/>
    <xf numFmtId="170" fontId="1" fillId="0" borderId="14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0" fontId="1" fillId="0" borderId="14" xfId="0" applyNumberFormat="1" applyFont="1" applyBorder="1"/>
    <xf numFmtId="170" fontId="1" fillId="0" borderId="14" xfId="117" applyNumberFormat="1" applyFont="1" applyBorder="1" applyProtection="1"/>
    <xf numFmtId="0" fontId="1" fillId="0" borderId="25" xfId="0" applyFont="1" applyBorder="1" applyAlignment="1">
      <alignment horizontal="center"/>
    </xf>
    <xf numFmtId="170" fontId="1" fillId="0" borderId="0" xfId="0" applyNumberFormat="1" applyFont="1"/>
    <xf numFmtId="170" fontId="1" fillId="0" borderId="25" xfId="0" applyNumberFormat="1" applyFont="1" applyBorder="1"/>
    <xf numFmtId="170" fontId="1" fillId="0" borderId="14" xfId="117" applyNumberFormat="1" applyFont="1" applyBorder="1"/>
    <xf numFmtId="171" fontId="1" fillId="0" borderId="14" xfId="0" applyNumberFormat="1" applyFont="1" applyBorder="1"/>
    <xf numFmtId="171" fontId="54" fillId="0" borderId="24" xfId="0" applyNumberFormat="1" applyFont="1" applyBorder="1"/>
    <xf numFmtId="171" fontId="1" fillId="0" borderId="24" xfId="0" applyNumberFormat="1" applyFont="1" applyBorder="1"/>
    <xf numFmtId="171" fontId="1" fillId="0" borderId="25" xfId="0" applyNumberFormat="1" applyFont="1" applyBorder="1"/>
    <xf numFmtId="170" fontId="1" fillId="0" borderId="25" xfId="117" applyNumberFormat="1" applyFont="1" applyBorder="1"/>
    <xf numFmtId="0" fontId="1" fillId="0" borderId="26" xfId="0" applyFont="1" applyBorder="1" applyAlignment="1">
      <alignment horizontal="center"/>
    </xf>
    <xf numFmtId="170" fontId="1" fillId="0" borderId="26" xfId="0" applyNumberFormat="1" applyFont="1" applyBorder="1"/>
    <xf numFmtId="170" fontId="1" fillId="0" borderId="26" xfId="117" applyNumberFormat="1" applyFont="1" applyBorder="1" applyProtection="1"/>
    <xf numFmtId="171" fontId="1" fillId="0" borderId="16" xfId="0" applyNumberFormat="1" applyFont="1" applyBorder="1"/>
    <xf numFmtId="171" fontId="1" fillId="0" borderId="26" xfId="0" applyNumberFormat="1" applyFont="1" applyBorder="1"/>
    <xf numFmtId="171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/>
    <xf numFmtId="0" fontId="39" fillId="0" borderId="28" xfId="0" applyFont="1" applyBorder="1" applyAlignment="1">
      <alignment horizontal="center"/>
    </xf>
    <xf numFmtId="169" fontId="1" fillId="0" borderId="29" xfId="549" applyFont="1" applyBorder="1" applyAlignment="1" applyProtection="1">
      <alignment horizontal="center"/>
    </xf>
    <xf numFmtId="169" fontId="1" fillId="0" borderId="29" xfId="549" quotePrefix="1" applyFont="1" applyBorder="1" applyAlignment="1" applyProtection="1">
      <alignment horizontal="center"/>
    </xf>
    <xf numFmtId="3" fontId="1" fillId="0" borderId="30" xfId="549" applyNumberFormat="1" applyFont="1" applyBorder="1" applyAlignment="1" applyProtection="1">
      <alignment horizontal="center"/>
    </xf>
    <xf numFmtId="170" fontId="1" fillId="0" borderId="13" xfId="117" quotePrefix="1" applyNumberFormat="1" applyFont="1" applyBorder="1" applyAlignment="1" applyProtection="1">
      <alignment horizontal="right"/>
    </xf>
    <xf numFmtId="170" fontId="1" fillId="0" borderId="14" xfId="0" applyNumberFormat="1" applyFont="1" applyBorder="1"/>
    <xf numFmtId="170" fontId="1" fillId="0" borderId="32" xfId="117" quotePrefix="1" applyNumberFormat="1" applyFont="1" applyBorder="1" applyAlignment="1" applyProtection="1">
      <alignment horizontal="right"/>
    </xf>
    <xf numFmtId="170" fontId="1" fillId="0" borderId="20" xfId="0" applyNumberFormat="1" applyFont="1" applyBorder="1"/>
    <xf numFmtId="0" fontId="1" fillId="0" borderId="15" xfId="0" quotePrefix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39" fillId="0" borderId="22" xfId="0" applyFont="1" applyBorder="1"/>
    <xf numFmtId="0" fontId="0" fillId="0" borderId="22" xfId="0" applyBorder="1"/>
    <xf numFmtId="170" fontId="1" fillId="0" borderId="14" xfId="117" applyNumberFormat="1" applyFont="1" applyFill="1" applyBorder="1" applyAlignment="1" applyProtection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170" fontId="1" fillId="0" borderId="24" xfId="0" applyNumberFormat="1" applyFont="1" applyBorder="1"/>
    <xf numFmtId="170" fontId="1" fillId="0" borderId="6" xfId="0" applyNumberFormat="1" applyFont="1" applyBorder="1"/>
    <xf numFmtId="0" fontId="58" fillId="0" borderId="0" xfId="0" applyFont="1"/>
    <xf numFmtId="171" fontId="46" fillId="0" borderId="0" xfId="0" quotePrefix="1" applyNumberFormat="1" applyFont="1" applyAlignment="1">
      <alignment horizontal="center"/>
    </xf>
    <xf numFmtId="170" fontId="1" fillId="0" borderId="25" xfId="117" applyNumberFormat="1" applyFont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27" borderId="0" xfId="117" applyNumberFormat="1" applyFont="1" applyFill="1" applyAlignment="1" applyProtection="1">
      <alignment vertical="center"/>
    </xf>
    <xf numFmtId="0" fontId="7" fillId="63" borderId="14" xfId="0" applyFont="1" applyFill="1" applyBorder="1" applyAlignment="1" applyProtection="1">
      <alignment horizontal="right"/>
    </xf>
    <xf numFmtId="6" fontId="39" fillId="0" borderId="0" xfId="117" applyNumberFormat="1" applyFont="1" applyAlignment="1" applyProtection="1">
      <alignment vertical="center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00A" xfId="76" xr:uid="{00000000-0005-0000-0000-00004B000000}"/>
    <cellStyle name="C00B" xfId="77" xr:uid="{00000000-0005-0000-0000-00004C000000}"/>
    <cellStyle name="C00L" xfId="78" xr:uid="{00000000-0005-0000-0000-00004D000000}"/>
    <cellStyle name="C01A" xfId="79" xr:uid="{00000000-0005-0000-0000-00004E000000}"/>
    <cellStyle name="C01B" xfId="80" xr:uid="{00000000-0005-0000-0000-00004F000000}"/>
    <cellStyle name="C01B 2" xfId="81" xr:uid="{00000000-0005-0000-0000-000050000000}"/>
    <cellStyle name="C01H" xfId="82" xr:uid="{00000000-0005-0000-0000-000051000000}"/>
    <cellStyle name="C01L" xfId="83" xr:uid="{00000000-0005-0000-0000-000052000000}"/>
    <cellStyle name="C02A" xfId="84" xr:uid="{00000000-0005-0000-0000-000053000000}"/>
    <cellStyle name="C02B" xfId="85" xr:uid="{00000000-0005-0000-0000-000054000000}"/>
    <cellStyle name="C02B 2" xfId="86" xr:uid="{00000000-0005-0000-0000-000055000000}"/>
    <cellStyle name="C02H" xfId="87" xr:uid="{00000000-0005-0000-0000-000056000000}"/>
    <cellStyle name="C02L" xfId="88" xr:uid="{00000000-0005-0000-0000-000057000000}"/>
    <cellStyle name="C03A" xfId="89" xr:uid="{00000000-0005-0000-0000-000058000000}"/>
    <cellStyle name="C03B" xfId="90" xr:uid="{00000000-0005-0000-0000-000059000000}"/>
    <cellStyle name="C03H" xfId="91" xr:uid="{00000000-0005-0000-0000-00005A000000}"/>
    <cellStyle name="C03L" xfId="92" xr:uid="{00000000-0005-0000-0000-00005B000000}"/>
    <cellStyle name="C04A" xfId="93" xr:uid="{00000000-0005-0000-0000-00005C000000}"/>
    <cellStyle name="C04A 2" xfId="94" xr:uid="{00000000-0005-0000-0000-00005D000000}"/>
    <cellStyle name="C04B" xfId="95" xr:uid="{00000000-0005-0000-0000-00005E000000}"/>
    <cellStyle name="C04H" xfId="96" xr:uid="{00000000-0005-0000-0000-00005F000000}"/>
    <cellStyle name="C04L" xfId="97" xr:uid="{00000000-0005-0000-0000-000060000000}"/>
    <cellStyle name="C05A" xfId="98" xr:uid="{00000000-0005-0000-0000-000061000000}"/>
    <cellStyle name="C05B" xfId="99" xr:uid="{00000000-0005-0000-0000-000062000000}"/>
    <cellStyle name="C05H" xfId="100" xr:uid="{00000000-0005-0000-0000-000063000000}"/>
    <cellStyle name="C05L" xfId="101" xr:uid="{00000000-0005-0000-0000-000064000000}"/>
    <cellStyle name="C05L 2" xfId="102" xr:uid="{00000000-0005-0000-0000-000065000000}"/>
    <cellStyle name="C06A" xfId="103" xr:uid="{00000000-0005-0000-0000-000066000000}"/>
    <cellStyle name="C06B" xfId="104" xr:uid="{00000000-0005-0000-0000-000067000000}"/>
    <cellStyle name="C06H" xfId="105" xr:uid="{00000000-0005-0000-0000-000068000000}"/>
    <cellStyle name="C06L" xfId="106" xr:uid="{00000000-0005-0000-0000-000069000000}"/>
    <cellStyle name="C07A" xfId="107" xr:uid="{00000000-0005-0000-0000-00006A000000}"/>
    <cellStyle name="C07B" xfId="108" xr:uid="{00000000-0005-0000-0000-00006B000000}"/>
    <cellStyle name="C07H" xfId="109" xr:uid="{00000000-0005-0000-0000-00006C000000}"/>
    <cellStyle name="C07L" xfId="110" xr:uid="{00000000-0005-0000-0000-00006D000000}"/>
    <cellStyle name="Calculation" xfId="111" builtinId="22" customBuiltin="1"/>
    <cellStyle name="Calculation 2" xfId="112" xr:uid="{00000000-0005-0000-0000-00006F000000}"/>
    <cellStyle name="Calculation 2 2" xfId="113" xr:uid="{00000000-0005-0000-0000-000070000000}"/>
    <cellStyle name="Check Cell" xfId="114" builtinId="23" customBuiltin="1"/>
    <cellStyle name="Check Cell 2" xfId="115" xr:uid="{00000000-0005-0000-0000-000072000000}"/>
    <cellStyle name="Check Cell 2 2" xfId="116" xr:uid="{00000000-0005-0000-0000-000073000000}"/>
    <cellStyle name="Comma" xfId="117" builtinId="3"/>
    <cellStyle name="Comma [0] 2" xfId="118" xr:uid="{00000000-0005-0000-0000-000075000000}"/>
    <cellStyle name="Comma [0] 2 2" xfId="119" xr:uid="{00000000-0005-0000-0000-000076000000}"/>
    <cellStyle name="Comma 10" xfId="120" xr:uid="{00000000-0005-0000-0000-000077000000}"/>
    <cellStyle name="Comma 11" xfId="121" xr:uid="{00000000-0005-0000-0000-000078000000}"/>
    <cellStyle name="Comma 12" xfId="122" xr:uid="{00000000-0005-0000-0000-000079000000}"/>
    <cellStyle name="Comma 13" xfId="123" xr:uid="{00000000-0005-0000-0000-00007A000000}"/>
    <cellStyle name="Comma 14" xfId="124" xr:uid="{00000000-0005-0000-0000-00007B000000}"/>
    <cellStyle name="Comma 15" xfId="125" xr:uid="{00000000-0005-0000-0000-00007C000000}"/>
    <cellStyle name="Comma 16" xfId="126" xr:uid="{00000000-0005-0000-0000-00007D000000}"/>
    <cellStyle name="Comma 17" xfId="127" xr:uid="{00000000-0005-0000-0000-00007E000000}"/>
    <cellStyle name="Comma 18" xfId="128" xr:uid="{00000000-0005-0000-0000-00007F000000}"/>
    <cellStyle name="Comma 19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3" xfId="133" xr:uid="{00000000-0005-0000-0000-000084000000}"/>
    <cellStyle name="Comma 2 3 2" xfId="134" xr:uid="{00000000-0005-0000-0000-000085000000}"/>
    <cellStyle name="Comma 2 3 3" xfId="135" xr:uid="{00000000-0005-0000-0000-000086000000}"/>
    <cellStyle name="Comma 2 3 4" xfId="136" xr:uid="{00000000-0005-0000-0000-000087000000}"/>
    <cellStyle name="Comma 2 4" xfId="137" xr:uid="{00000000-0005-0000-0000-000088000000}"/>
    <cellStyle name="Comma 20" xfId="138" xr:uid="{00000000-0005-0000-0000-000089000000}"/>
    <cellStyle name="Comma 21" xfId="139" xr:uid="{00000000-0005-0000-0000-00008A000000}"/>
    <cellStyle name="Comma 22" xfId="140" xr:uid="{00000000-0005-0000-0000-00008B000000}"/>
    <cellStyle name="Comma 23" xfId="141" xr:uid="{00000000-0005-0000-0000-00008C000000}"/>
    <cellStyle name="Comma 24" xfId="142" xr:uid="{00000000-0005-0000-0000-00008D000000}"/>
    <cellStyle name="Comma 25" xfId="143" xr:uid="{00000000-0005-0000-0000-00008E000000}"/>
    <cellStyle name="Comma 25 2" xfId="144" xr:uid="{00000000-0005-0000-0000-00008F000000}"/>
    <cellStyle name="Comma 26" xfId="145" xr:uid="{00000000-0005-0000-0000-000090000000}"/>
    <cellStyle name="Comma 26 2" xfId="146" xr:uid="{00000000-0005-0000-0000-000091000000}"/>
    <cellStyle name="Comma 27" xfId="147" xr:uid="{00000000-0005-0000-0000-000092000000}"/>
    <cellStyle name="Comma 27 2" xfId="148" xr:uid="{00000000-0005-0000-0000-000093000000}"/>
    <cellStyle name="Comma 28" xfId="149" xr:uid="{00000000-0005-0000-0000-000094000000}"/>
    <cellStyle name="Comma 28 2" xfId="150" xr:uid="{00000000-0005-0000-0000-000095000000}"/>
    <cellStyle name="Comma 29" xfId="151" xr:uid="{00000000-0005-0000-0000-000096000000}"/>
    <cellStyle name="Comma 29 2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3 2" xfId="157" xr:uid="{00000000-0005-0000-0000-00009C000000}"/>
    <cellStyle name="Comma 3 3 2 2" xfId="158" xr:uid="{00000000-0005-0000-0000-00009D000000}"/>
    <cellStyle name="Comma 3 3 2 3" xfId="159" xr:uid="{00000000-0005-0000-0000-00009E000000}"/>
    <cellStyle name="Comma 3 3 3" xfId="160" xr:uid="{00000000-0005-0000-0000-00009F000000}"/>
    <cellStyle name="Comma 3 3 3 2" xfId="161" xr:uid="{00000000-0005-0000-0000-0000A0000000}"/>
    <cellStyle name="Comma 3 3 3 2 2" xfId="162" xr:uid="{00000000-0005-0000-0000-0000A1000000}"/>
    <cellStyle name="Comma 3 3 3 2 3" xfId="163" xr:uid="{00000000-0005-0000-0000-0000A2000000}"/>
    <cellStyle name="Comma 3 3 3 2 4" xfId="164" xr:uid="{00000000-0005-0000-0000-0000A3000000}"/>
    <cellStyle name="Comma 3 3 3 3" xfId="165" xr:uid="{00000000-0005-0000-0000-0000A4000000}"/>
    <cellStyle name="Comma 3 3 4" xfId="166" xr:uid="{00000000-0005-0000-0000-0000A5000000}"/>
    <cellStyle name="Comma 3 3 5" xfId="167" xr:uid="{00000000-0005-0000-0000-0000A6000000}"/>
    <cellStyle name="Comma 3 3 5 2" xfId="168" xr:uid="{00000000-0005-0000-0000-0000A7000000}"/>
    <cellStyle name="Comma 3 3 5 3" xfId="169" xr:uid="{00000000-0005-0000-0000-0000A8000000}"/>
    <cellStyle name="Comma 3 3 5 4" xfId="170" xr:uid="{00000000-0005-0000-0000-0000A9000000}"/>
    <cellStyle name="Comma 3 4" xfId="171" xr:uid="{00000000-0005-0000-0000-0000AA000000}"/>
    <cellStyle name="Comma 3 4 2" xfId="172" xr:uid="{00000000-0005-0000-0000-0000AB000000}"/>
    <cellStyle name="Comma 3 4 3" xfId="173" xr:uid="{00000000-0005-0000-0000-0000AC000000}"/>
    <cellStyle name="Comma 3 4 4" xfId="174" xr:uid="{00000000-0005-0000-0000-0000AD000000}"/>
    <cellStyle name="Comma 3 4 4 2" xfId="175" xr:uid="{00000000-0005-0000-0000-0000AE000000}"/>
    <cellStyle name="Comma 3 4 4 3" xfId="176" xr:uid="{00000000-0005-0000-0000-0000AF000000}"/>
    <cellStyle name="Comma 3 4 4 4" xfId="177" xr:uid="{00000000-0005-0000-0000-0000B0000000}"/>
    <cellStyle name="Comma 3 4 5" xfId="178" xr:uid="{00000000-0005-0000-0000-0000B1000000}"/>
    <cellStyle name="Comma 3 5" xfId="179" xr:uid="{00000000-0005-0000-0000-0000B2000000}"/>
    <cellStyle name="Comma 3 5 2" xfId="180" xr:uid="{00000000-0005-0000-0000-0000B3000000}"/>
    <cellStyle name="Comma 3 6" xfId="181" xr:uid="{00000000-0005-0000-0000-0000B4000000}"/>
    <cellStyle name="Comma 3 7" xfId="182" xr:uid="{00000000-0005-0000-0000-0000B5000000}"/>
    <cellStyle name="Comma 3 8" xfId="183" xr:uid="{00000000-0005-0000-0000-0000B6000000}"/>
    <cellStyle name="Comma 30" xfId="184" xr:uid="{00000000-0005-0000-0000-0000B7000000}"/>
    <cellStyle name="Comma 31" xfId="185" xr:uid="{00000000-0005-0000-0000-0000B8000000}"/>
    <cellStyle name="Comma 32" xfId="186" xr:uid="{00000000-0005-0000-0000-0000B9000000}"/>
    <cellStyle name="Comma 33" xfId="187" xr:uid="{00000000-0005-0000-0000-0000BA000000}"/>
    <cellStyle name="Comma 34" xfId="188" xr:uid="{00000000-0005-0000-0000-0000BB000000}"/>
    <cellStyle name="Comma 35" xfId="189" xr:uid="{00000000-0005-0000-0000-0000BC000000}"/>
    <cellStyle name="Comma 36" xfId="190" xr:uid="{00000000-0005-0000-0000-0000BD000000}"/>
    <cellStyle name="Comma 37" xfId="191" xr:uid="{00000000-0005-0000-0000-0000BE000000}"/>
    <cellStyle name="Comma 38" xfId="192" xr:uid="{00000000-0005-0000-0000-0000BF000000}"/>
    <cellStyle name="Comma 39" xfId="193" xr:uid="{00000000-0005-0000-0000-0000C0000000}"/>
    <cellStyle name="Comma 4" xfId="194" xr:uid="{00000000-0005-0000-0000-0000C1000000}"/>
    <cellStyle name="Comma 4 2" xfId="195" xr:uid="{00000000-0005-0000-0000-0000C2000000}"/>
    <cellStyle name="Comma 4 2 2" xfId="196" xr:uid="{00000000-0005-0000-0000-0000C3000000}"/>
    <cellStyle name="Comma 4 2 2 2" xfId="197" xr:uid="{00000000-0005-0000-0000-0000C4000000}"/>
    <cellStyle name="Comma 4 2 2 3" xfId="198" xr:uid="{00000000-0005-0000-0000-0000C5000000}"/>
    <cellStyle name="Comma 4 2 2 4" xfId="199" xr:uid="{00000000-0005-0000-0000-0000C6000000}"/>
    <cellStyle name="Comma 4 2 3" xfId="200" xr:uid="{00000000-0005-0000-0000-0000C7000000}"/>
    <cellStyle name="Comma 4 2 3 2" xfId="201" xr:uid="{00000000-0005-0000-0000-0000C8000000}"/>
    <cellStyle name="Comma 4 2 3 2 2" xfId="202" xr:uid="{00000000-0005-0000-0000-0000C9000000}"/>
    <cellStyle name="Comma 4 2 3 3" xfId="203" xr:uid="{00000000-0005-0000-0000-0000CA000000}"/>
    <cellStyle name="Comma 4 2 3 3 2" xfId="204" xr:uid="{00000000-0005-0000-0000-0000CB000000}"/>
    <cellStyle name="Comma 4 2 3 4" xfId="205" xr:uid="{00000000-0005-0000-0000-0000CC000000}"/>
    <cellStyle name="Comma 4 2 4" xfId="206" xr:uid="{00000000-0005-0000-0000-0000CD000000}"/>
    <cellStyle name="Comma 4 2 4 2" xfId="207" xr:uid="{00000000-0005-0000-0000-0000CE000000}"/>
    <cellStyle name="Comma 4 2 4 3" xfId="208" xr:uid="{00000000-0005-0000-0000-0000CF000000}"/>
    <cellStyle name="Comma 4 2 4 4" xfId="209" xr:uid="{00000000-0005-0000-0000-0000D0000000}"/>
    <cellStyle name="Comma 4 2 5" xfId="210" xr:uid="{00000000-0005-0000-0000-0000D1000000}"/>
    <cellStyle name="Comma 4 3" xfId="211" xr:uid="{00000000-0005-0000-0000-0000D2000000}"/>
    <cellStyle name="Comma 4 3 2" xfId="212" xr:uid="{00000000-0005-0000-0000-0000D3000000}"/>
    <cellStyle name="Comma 4 3 2 2" xfId="213" xr:uid="{00000000-0005-0000-0000-0000D4000000}"/>
    <cellStyle name="Comma 4 3 2 2 2" xfId="214" xr:uid="{00000000-0005-0000-0000-0000D5000000}"/>
    <cellStyle name="Comma 4 3 2 3" xfId="215" xr:uid="{00000000-0005-0000-0000-0000D6000000}"/>
    <cellStyle name="Comma 4 3 2 3 2" xfId="216" xr:uid="{00000000-0005-0000-0000-0000D7000000}"/>
    <cellStyle name="Comma 4 3 2 4" xfId="217" xr:uid="{00000000-0005-0000-0000-0000D8000000}"/>
    <cellStyle name="Comma 4 3 3" xfId="218" xr:uid="{00000000-0005-0000-0000-0000D9000000}"/>
    <cellStyle name="Comma 4 3 4" xfId="219" xr:uid="{00000000-0005-0000-0000-0000DA000000}"/>
    <cellStyle name="Comma 4 3 4 2" xfId="220" xr:uid="{00000000-0005-0000-0000-0000DB000000}"/>
    <cellStyle name="Comma 4 3 4 3" xfId="221" xr:uid="{00000000-0005-0000-0000-0000DC000000}"/>
    <cellStyle name="Comma 4 3 5" xfId="222" xr:uid="{00000000-0005-0000-0000-0000DD000000}"/>
    <cellStyle name="Comma 4 3 5 2" xfId="223" xr:uid="{00000000-0005-0000-0000-0000DE000000}"/>
    <cellStyle name="Comma 4 3 6" xfId="224" xr:uid="{00000000-0005-0000-0000-0000DF000000}"/>
    <cellStyle name="Comma 4 3 6 2" xfId="225" xr:uid="{00000000-0005-0000-0000-0000E0000000}"/>
    <cellStyle name="Comma 4 4" xfId="226" xr:uid="{00000000-0005-0000-0000-0000E1000000}"/>
    <cellStyle name="Comma 4 4 2" xfId="227" xr:uid="{00000000-0005-0000-0000-0000E2000000}"/>
    <cellStyle name="Comma 4 4 3" xfId="228" xr:uid="{00000000-0005-0000-0000-0000E3000000}"/>
    <cellStyle name="Comma 4 4 4" xfId="229" xr:uid="{00000000-0005-0000-0000-0000E4000000}"/>
    <cellStyle name="Comma 4 5" xfId="230" xr:uid="{00000000-0005-0000-0000-0000E5000000}"/>
    <cellStyle name="Comma 4 5 2" xfId="231" xr:uid="{00000000-0005-0000-0000-0000E6000000}"/>
    <cellStyle name="Comma 4 6" xfId="232" xr:uid="{00000000-0005-0000-0000-0000E7000000}"/>
    <cellStyle name="Comma 40" xfId="233" xr:uid="{00000000-0005-0000-0000-0000E8000000}"/>
    <cellStyle name="Comma 41" xfId="234" xr:uid="{00000000-0005-0000-0000-0000E9000000}"/>
    <cellStyle name="Comma 42" xfId="235" xr:uid="{00000000-0005-0000-0000-0000EA000000}"/>
    <cellStyle name="Comma 43" xfId="236" xr:uid="{00000000-0005-0000-0000-0000EB000000}"/>
    <cellStyle name="Comma 44" xfId="237" xr:uid="{00000000-0005-0000-0000-0000EC000000}"/>
    <cellStyle name="Comma 45" xfId="238" xr:uid="{00000000-0005-0000-0000-0000ED000000}"/>
    <cellStyle name="Comma 46" xfId="239" xr:uid="{00000000-0005-0000-0000-0000EE000000}"/>
    <cellStyle name="Comma 47" xfId="240" xr:uid="{00000000-0005-0000-0000-0000EF000000}"/>
    <cellStyle name="Comma 48" xfId="241" xr:uid="{00000000-0005-0000-0000-0000F0000000}"/>
    <cellStyle name="Comma 49" xfId="242" xr:uid="{00000000-0005-0000-0000-0000F1000000}"/>
    <cellStyle name="Comma 5" xfId="243" xr:uid="{00000000-0005-0000-0000-0000F2000000}"/>
    <cellStyle name="Comma 5 2" xfId="244" xr:uid="{00000000-0005-0000-0000-0000F3000000}"/>
    <cellStyle name="Comma 5 2 2" xfId="245" xr:uid="{00000000-0005-0000-0000-0000F4000000}"/>
    <cellStyle name="Comma 5 2 3" xfId="246" xr:uid="{00000000-0005-0000-0000-0000F5000000}"/>
    <cellStyle name="Comma 5 3" xfId="247" xr:uid="{00000000-0005-0000-0000-0000F6000000}"/>
    <cellStyle name="Comma 50" xfId="248" xr:uid="{00000000-0005-0000-0000-0000F7000000}"/>
    <cellStyle name="Comma 51" xfId="249" xr:uid="{00000000-0005-0000-0000-0000F8000000}"/>
    <cellStyle name="Comma 52" xfId="250" xr:uid="{00000000-0005-0000-0000-0000F9000000}"/>
    <cellStyle name="Comma 52 2" xfId="251" xr:uid="{00000000-0005-0000-0000-0000FA000000}"/>
    <cellStyle name="Comma 53" xfId="252" xr:uid="{00000000-0005-0000-0000-0000FB000000}"/>
    <cellStyle name="Comma 54" xfId="253" xr:uid="{00000000-0005-0000-0000-0000FC000000}"/>
    <cellStyle name="Comma 55" xfId="254" xr:uid="{00000000-0005-0000-0000-0000FD000000}"/>
    <cellStyle name="Comma 56" xfId="255" xr:uid="{00000000-0005-0000-0000-0000FE000000}"/>
    <cellStyle name="Comma 57" xfId="256" xr:uid="{00000000-0005-0000-0000-0000FF000000}"/>
    <cellStyle name="Comma 57 2" xfId="257" xr:uid="{00000000-0005-0000-0000-000000010000}"/>
    <cellStyle name="Comma 57 3" xfId="258" xr:uid="{00000000-0005-0000-0000-000001010000}"/>
    <cellStyle name="Comma 57 4" xfId="259" xr:uid="{00000000-0005-0000-0000-000002010000}"/>
    <cellStyle name="Comma 58" xfId="260" xr:uid="{00000000-0005-0000-0000-000003010000}"/>
    <cellStyle name="Comma 58 2" xfId="261" xr:uid="{00000000-0005-0000-0000-000004010000}"/>
    <cellStyle name="Comma 58 3" xfId="262" xr:uid="{00000000-0005-0000-0000-000005010000}"/>
    <cellStyle name="Comma 58 4" xfId="263" xr:uid="{00000000-0005-0000-0000-000006010000}"/>
    <cellStyle name="Comma 59" xfId="264" xr:uid="{00000000-0005-0000-0000-000007010000}"/>
    <cellStyle name="Comma 59 2" xfId="265" xr:uid="{00000000-0005-0000-0000-000008010000}"/>
    <cellStyle name="Comma 59 3" xfId="266" xr:uid="{00000000-0005-0000-0000-000009010000}"/>
    <cellStyle name="Comma 59 4" xfId="267" xr:uid="{00000000-0005-0000-0000-00000A010000}"/>
    <cellStyle name="Comma 6" xfId="268" xr:uid="{00000000-0005-0000-0000-00000B010000}"/>
    <cellStyle name="Comma 6 2" xfId="269" xr:uid="{00000000-0005-0000-0000-00000C010000}"/>
    <cellStyle name="Comma 6 3" xfId="270" xr:uid="{00000000-0005-0000-0000-00000D010000}"/>
    <cellStyle name="Comma 6 4" xfId="271" xr:uid="{00000000-0005-0000-0000-00000E010000}"/>
    <cellStyle name="Comma 6 4 2" xfId="272" xr:uid="{00000000-0005-0000-0000-00000F010000}"/>
    <cellStyle name="Comma 6 4 3" xfId="273" xr:uid="{00000000-0005-0000-0000-000010010000}"/>
    <cellStyle name="Comma 6 4 4" xfId="274" xr:uid="{00000000-0005-0000-0000-000011010000}"/>
    <cellStyle name="Comma 6 5" xfId="275" xr:uid="{00000000-0005-0000-0000-000012010000}"/>
    <cellStyle name="Comma 60" xfId="276" xr:uid="{00000000-0005-0000-0000-000013010000}"/>
    <cellStyle name="Comma 60 2" xfId="277" xr:uid="{00000000-0005-0000-0000-000014010000}"/>
    <cellStyle name="Comma 60 3" xfId="278" xr:uid="{00000000-0005-0000-0000-000015010000}"/>
    <cellStyle name="Comma 60 4" xfId="279" xr:uid="{00000000-0005-0000-0000-000016010000}"/>
    <cellStyle name="Comma 61" xfId="280" xr:uid="{00000000-0005-0000-0000-000017010000}"/>
    <cellStyle name="Comma 61 2" xfId="281" xr:uid="{00000000-0005-0000-0000-000018010000}"/>
    <cellStyle name="Comma 61 3" xfId="282" xr:uid="{00000000-0005-0000-0000-000019010000}"/>
    <cellStyle name="Comma 61 4" xfId="283" xr:uid="{00000000-0005-0000-0000-00001A010000}"/>
    <cellStyle name="Comma 62" xfId="284" xr:uid="{00000000-0005-0000-0000-00001B010000}"/>
    <cellStyle name="Comma 62 2" xfId="285" xr:uid="{00000000-0005-0000-0000-00001C010000}"/>
    <cellStyle name="Comma 62 3" xfId="286" xr:uid="{00000000-0005-0000-0000-00001D010000}"/>
    <cellStyle name="Comma 63" xfId="287" xr:uid="{00000000-0005-0000-0000-00001E010000}"/>
    <cellStyle name="Comma 63 2" xfId="288" xr:uid="{00000000-0005-0000-0000-00001F010000}"/>
    <cellStyle name="Comma 63 3" xfId="289" xr:uid="{00000000-0005-0000-0000-000020010000}"/>
    <cellStyle name="Comma 64" xfId="290" xr:uid="{00000000-0005-0000-0000-000021010000}"/>
    <cellStyle name="Comma 64 2" xfId="291" xr:uid="{00000000-0005-0000-0000-000022010000}"/>
    <cellStyle name="Comma 64 3" xfId="292" xr:uid="{00000000-0005-0000-0000-000023010000}"/>
    <cellStyle name="Comma 65" xfId="293" xr:uid="{00000000-0005-0000-0000-000024010000}"/>
    <cellStyle name="Comma 65 2" xfId="294" xr:uid="{00000000-0005-0000-0000-000025010000}"/>
    <cellStyle name="Comma 65 3" xfId="295" xr:uid="{00000000-0005-0000-0000-000026010000}"/>
    <cellStyle name="Comma 66" xfId="296" xr:uid="{00000000-0005-0000-0000-000027010000}"/>
    <cellStyle name="Comma 66 2" xfId="297" xr:uid="{00000000-0005-0000-0000-000028010000}"/>
    <cellStyle name="Comma 66 3" xfId="298" xr:uid="{00000000-0005-0000-0000-000029010000}"/>
    <cellStyle name="Comma 67" xfId="299" xr:uid="{00000000-0005-0000-0000-00002A010000}"/>
    <cellStyle name="Comma 67 2" xfId="300" xr:uid="{00000000-0005-0000-0000-00002B010000}"/>
    <cellStyle name="Comma 67 3" xfId="301" xr:uid="{00000000-0005-0000-0000-00002C010000}"/>
    <cellStyle name="Comma 68" xfId="302" xr:uid="{00000000-0005-0000-0000-00002D010000}"/>
    <cellStyle name="Comma 68 2" xfId="303" xr:uid="{00000000-0005-0000-0000-00002E010000}"/>
    <cellStyle name="Comma 68 3" xfId="304" xr:uid="{00000000-0005-0000-0000-00002F010000}"/>
    <cellStyle name="Comma 69" xfId="305" xr:uid="{00000000-0005-0000-0000-000030010000}"/>
    <cellStyle name="Comma 69 2" xfId="306" xr:uid="{00000000-0005-0000-0000-000031010000}"/>
    <cellStyle name="Comma 7" xfId="307" xr:uid="{00000000-0005-0000-0000-000032010000}"/>
    <cellStyle name="Comma 7 2" xfId="308" xr:uid="{00000000-0005-0000-0000-000033010000}"/>
    <cellStyle name="Comma 70" xfId="309" xr:uid="{00000000-0005-0000-0000-000034010000}"/>
    <cellStyle name="Comma 70 2" xfId="310" xr:uid="{00000000-0005-0000-0000-000035010000}"/>
    <cellStyle name="Comma 71" xfId="311" xr:uid="{00000000-0005-0000-0000-000036010000}"/>
    <cellStyle name="Comma 71 2" xfId="312" xr:uid="{00000000-0005-0000-0000-000037010000}"/>
    <cellStyle name="Comma 72" xfId="313" xr:uid="{00000000-0005-0000-0000-000038010000}"/>
    <cellStyle name="Comma 73" xfId="314" xr:uid="{00000000-0005-0000-0000-000039010000}"/>
    <cellStyle name="Comma 74" xfId="315" xr:uid="{00000000-0005-0000-0000-00003A010000}"/>
    <cellStyle name="Comma 75" xfId="316" xr:uid="{00000000-0005-0000-0000-00003B010000}"/>
    <cellStyle name="Comma 76" xfId="317" xr:uid="{00000000-0005-0000-0000-00003C010000}"/>
    <cellStyle name="Comma 8" xfId="318" xr:uid="{00000000-0005-0000-0000-00003D010000}"/>
    <cellStyle name="Comma 9" xfId="319" xr:uid="{00000000-0005-0000-0000-00003E010000}"/>
    <cellStyle name="Comma0" xfId="320" xr:uid="{00000000-0005-0000-0000-00003F010000}"/>
    <cellStyle name="Comma0 2" xfId="321" xr:uid="{00000000-0005-0000-0000-000040010000}"/>
    <cellStyle name="Comma0 2 2" xfId="322" xr:uid="{00000000-0005-0000-0000-000041010000}"/>
    <cellStyle name="Comma0 2 3" xfId="323" xr:uid="{00000000-0005-0000-0000-000042010000}"/>
    <cellStyle name="Comma0 2 4" xfId="324" xr:uid="{00000000-0005-0000-0000-000043010000}"/>
    <cellStyle name="Comma0 2 5" xfId="325" xr:uid="{00000000-0005-0000-0000-000044010000}"/>
    <cellStyle name="Comma0 3" xfId="326" xr:uid="{00000000-0005-0000-0000-000045010000}"/>
    <cellStyle name="Currency" xfId="327" builtinId="4"/>
    <cellStyle name="Currency 2" xfId="328" xr:uid="{00000000-0005-0000-0000-000047010000}"/>
    <cellStyle name="Currency 2 2" xfId="329" xr:uid="{00000000-0005-0000-0000-000048010000}"/>
    <cellStyle name="Currency 2 2 2" xfId="330" xr:uid="{00000000-0005-0000-0000-000049010000}"/>
    <cellStyle name="Currency 2 3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3 2 2" xfId="334" xr:uid="{00000000-0005-0000-0000-00004D010000}"/>
    <cellStyle name="Currency 3 3" xfId="335" xr:uid="{00000000-0005-0000-0000-00004E010000}"/>
    <cellStyle name="Currency 3 3 2" xfId="336" xr:uid="{00000000-0005-0000-0000-00004F010000}"/>
    <cellStyle name="Currency 3 3 2 2" xfId="337" xr:uid="{00000000-0005-0000-0000-000050010000}"/>
    <cellStyle name="Currency 3 3 2 3" xfId="338" xr:uid="{00000000-0005-0000-0000-000051010000}"/>
    <cellStyle name="Currency 3 3 3" xfId="339" xr:uid="{00000000-0005-0000-0000-000052010000}"/>
    <cellStyle name="Currency 3 3 3 2" xfId="340" xr:uid="{00000000-0005-0000-0000-000053010000}"/>
    <cellStyle name="Currency 3 3 3 2 2" xfId="341" xr:uid="{00000000-0005-0000-0000-000054010000}"/>
    <cellStyle name="Currency 3 3 3 2 3" xfId="342" xr:uid="{00000000-0005-0000-0000-000055010000}"/>
    <cellStyle name="Currency 3 3 3 2 4" xfId="343" xr:uid="{00000000-0005-0000-0000-000056010000}"/>
    <cellStyle name="Currency 3 3 3 3" xfId="344" xr:uid="{00000000-0005-0000-0000-000057010000}"/>
    <cellStyle name="Currency 3 3 4" xfId="345" xr:uid="{00000000-0005-0000-0000-000058010000}"/>
    <cellStyle name="Currency 3 3 5" xfId="346" xr:uid="{00000000-0005-0000-0000-000059010000}"/>
    <cellStyle name="Currency 3 3 5 2" xfId="347" xr:uid="{00000000-0005-0000-0000-00005A010000}"/>
    <cellStyle name="Currency 3 3 5 3" xfId="348" xr:uid="{00000000-0005-0000-0000-00005B010000}"/>
    <cellStyle name="Currency 3 3 5 4" xfId="349" xr:uid="{00000000-0005-0000-0000-00005C010000}"/>
    <cellStyle name="Currency 3 4" xfId="350" xr:uid="{00000000-0005-0000-0000-00005D010000}"/>
    <cellStyle name="Currency 3 4 2" xfId="351" xr:uid="{00000000-0005-0000-0000-00005E010000}"/>
    <cellStyle name="Currency 3 4 3" xfId="352" xr:uid="{00000000-0005-0000-0000-00005F010000}"/>
    <cellStyle name="Currency 3 4 4" xfId="353" xr:uid="{00000000-0005-0000-0000-000060010000}"/>
    <cellStyle name="Currency 3 4 4 2" xfId="354" xr:uid="{00000000-0005-0000-0000-000061010000}"/>
    <cellStyle name="Currency 3 4 4 3" xfId="355" xr:uid="{00000000-0005-0000-0000-000062010000}"/>
    <cellStyle name="Currency 3 4 4 4" xfId="356" xr:uid="{00000000-0005-0000-0000-000063010000}"/>
    <cellStyle name="Currency 3 4 5" xfId="357" xr:uid="{00000000-0005-0000-0000-000064010000}"/>
    <cellStyle name="Currency 3 5" xfId="358" xr:uid="{00000000-0005-0000-0000-000065010000}"/>
    <cellStyle name="Currency 3 5 2" xfId="359" xr:uid="{00000000-0005-0000-0000-000066010000}"/>
    <cellStyle name="Currency 3 6" xfId="360" xr:uid="{00000000-0005-0000-0000-000067010000}"/>
    <cellStyle name="Currency 3 7" xfId="361" xr:uid="{00000000-0005-0000-0000-000068010000}"/>
    <cellStyle name="Currency 3 8" xfId="362" xr:uid="{00000000-0005-0000-0000-000069010000}"/>
    <cellStyle name="Currency 4" xfId="363" xr:uid="{00000000-0005-0000-0000-00006A010000}"/>
    <cellStyle name="Currency 4 10" xfId="364" xr:uid="{00000000-0005-0000-0000-00006B010000}"/>
    <cellStyle name="Currency 4 10 2" xfId="365" xr:uid="{00000000-0005-0000-0000-00006C010000}"/>
    <cellStyle name="Currency 4 10 2 2" xfId="366" xr:uid="{00000000-0005-0000-0000-00006D010000}"/>
    <cellStyle name="Currency 4 10 2 2 2" xfId="367" xr:uid="{00000000-0005-0000-0000-00006E010000}"/>
    <cellStyle name="Currency 4 10 2 3" xfId="368" xr:uid="{00000000-0005-0000-0000-00006F010000}"/>
    <cellStyle name="Currency 4 10 2 3 2" xfId="369" xr:uid="{00000000-0005-0000-0000-000070010000}"/>
    <cellStyle name="Currency 4 10 2 4" xfId="370" xr:uid="{00000000-0005-0000-0000-000071010000}"/>
    <cellStyle name="Currency 4 10 3" xfId="371" xr:uid="{00000000-0005-0000-0000-000072010000}"/>
    <cellStyle name="Currency 4 10 3 2" xfId="372" xr:uid="{00000000-0005-0000-0000-000073010000}"/>
    <cellStyle name="Currency 4 10 4" xfId="373" xr:uid="{00000000-0005-0000-0000-000074010000}"/>
    <cellStyle name="Currency 4 10 4 2" xfId="374" xr:uid="{00000000-0005-0000-0000-000075010000}"/>
    <cellStyle name="Currency 4 10 4 3" xfId="375" xr:uid="{00000000-0005-0000-0000-000076010000}"/>
    <cellStyle name="Currency 4 10 5" xfId="376" xr:uid="{00000000-0005-0000-0000-000077010000}"/>
    <cellStyle name="Currency 4 10 5 2" xfId="377" xr:uid="{00000000-0005-0000-0000-000078010000}"/>
    <cellStyle name="Currency 4 2" xfId="378" xr:uid="{00000000-0005-0000-0000-000079010000}"/>
    <cellStyle name="Currency 4 2 2" xfId="379" xr:uid="{00000000-0005-0000-0000-00007A010000}"/>
    <cellStyle name="Currency 4 2 3" xfId="380" xr:uid="{00000000-0005-0000-0000-00007B010000}"/>
    <cellStyle name="Currency 4 3" xfId="381" xr:uid="{00000000-0005-0000-0000-00007C010000}"/>
    <cellStyle name="Currency 4 3 2" xfId="382" xr:uid="{00000000-0005-0000-0000-00007D010000}"/>
    <cellStyle name="Currency 4 3 2 2" xfId="383" xr:uid="{00000000-0005-0000-0000-00007E010000}"/>
    <cellStyle name="Currency 4 3 2 3" xfId="384" xr:uid="{00000000-0005-0000-0000-00007F010000}"/>
    <cellStyle name="Currency 4 3 2 4" xfId="385" xr:uid="{00000000-0005-0000-0000-000080010000}"/>
    <cellStyle name="Currency 4 3 3" xfId="386" xr:uid="{00000000-0005-0000-0000-000081010000}"/>
    <cellStyle name="Currency 4 4" xfId="387" xr:uid="{00000000-0005-0000-0000-000082010000}"/>
    <cellStyle name="Currency 4 5" xfId="388" xr:uid="{00000000-0005-0000-0000-000083010000}"/>
    <cellStyle name="Currency 4 5 2" xfId="389" xr:uid="{00000000-0005-0000-0000-000084010000}"/>
    <cellStyle name="Currency 4 5 3" xfId="390" xr:uid="{00000000-0005-0000-0000-000085010000}"/>
    <cellStyle name="Currency 4 5 4" xfId="391" xr:uid="{00000000-0005-0000-0000-000086010000}"/>
    <cellStyle name="Currency 5" xfId="392" xr:uid="{00000000-0005-0000-0000-000087010000}"/>
    <cellStyle name="Currency 5 2" xfId="393" xr:uid="{00000000-0005-0000-0000-000088010000}"/>
    <cellStyle name="Currency 5 3" xfId="394" xr:uid="{00000000-0005-0000-0000-000089010000}"/>
    <cellStyle name="Currency 5 4" xfId="395" xr:uid="{00000000-0005-0000-0000-00008A010000}"/>
    <cellStyle name="Currency 5 4 2" xfId="396" xr:uid="{00000000-0005-0000-0000-00008B010000}"/>
    <cellStyle name="Currency 5 4 3" xfId="397" xr:uid="{00000000-0005-0000-0000-00008C010000}"/>
    <cellStyle name="Currency 5 4 4" xfId="398" xr:uid="{00000000-0005-0000-0000-00008D010000}"/>
    <cellStyle name="Currency 5 5" xfId="399" xr:uid="{00000000-0005-0000-0000-00008E010000}"/>
    <cellStyle name="Currency 6" xfId="400" xr:uid="{00000000-0005-0000-0000-00008F010000}"/>
    <cellStyle name="Currency 6 2" xfId="401" xr:uid="{00000000-0005-0000-0000-000090010000}"/>
    <cellStyle name="Currency 6 3" xfId="402" xr:uid="{00000000-0005-0000-0000-000091010000}"/>
    <cellStyle name="Currency 6 3 2" xfId="403" xr:uid="{00000000-0005-0000-0000-000092010000}"/>
    <cellStyle name="Currency 6 3 3" xfId="404" xr:uid="{00000000-0005-0000-0000-000093010000}"/>
    <cellStyle name="Currency 6 3 4" xfId="405" xr:uid="{00000000-0005-0000-0000-000094010000}"/>
    <cellStyle name="Currency 7" xfId="406" xr:uid="{00000000-0005-0000-0000-000095010000}"/>
    <cellStyle name="Currency 8" xfId="407" xr:uid="{00000000-0005-0000-0000-000096010000}"/>
    <cellStyle name="Currency 9" xfId="408" xr:uid="{00000000-0005-0000-0000-000097010000}"/>
    <cellStyle name="Currency0" xfId="409" xr:uid="{00000000-0005-0000-0000-000098010000}"/>
    <cellStyle name="Currency0 2" xfId="410" xr:uid="{00000000-0005-0000-0000-000099010000}"/>
    <cellStyle name="Currency0 2 2" xfId="411" xr:uid="{00000000-0005-0000-0000-00009A010000}"/>
    <cellStyle name="Currency0 2 3" xfId="412" xr:uid="{00000000-0005-0000-0000-00009B010000}"/>
    <cellStyle name="Currency0 2 4" xfId="413" xr:uid="{00000000-0005-0000-0000-00009C010000}"/>
    <cellStyle name="Currency0 2 5" xfId="414" xr:uid="{00000000-0005-0000-0000-00009D010000}"/>
    <cellStyle name="Currency0 3" xfId="415" xr:uid="{00000000-0005-0000-0000-00009E010000}"/>
    <cellStyle name="Date" xfId="416" xr:uid="{00000000-0005-0000-0000-00009F010000}"/>
    <cellStyle name="Date 2" xfId="417" xr:uid="{00000000-0005-0000-0000-0000A0010000}"/>
    <cellStyle name="Date 2 2" xfId="418" xr:uid="{00000000-0005-0000-0000-0000A1010000}"/>
    <cellStyle name="Date 2 3" xfId="419" xr:uid="{00000000-0005-0000-0000-0000A2010000}"/>
    <cellStyle name="Date 2 4" xfId="420" xr:uid="{00000000-0005-0000-0000-0000A3010000}"/>
    <cellStyle name="Date 2 5" xfId="421" xr:uid="{00000000-0005-0000-0000-0000A4010000}"/>
    <cellStyle name="Date 3" xfId="422" xr:uid="{00000000-0005-0000-0000-0000A5010000}"/>
    <cellStyle name="Explanatory Text" xfId="423" builtinId="53" customBuiltin="1"/>
    <cellStyle name="Explanatory Text 2" xfId="424" xr:uid="{00000000-0005-0000-0000-0000A7010000}"/>
    <cellStyle name="Explanatory Text 2 2" xfId="425" xr:uid="{00000000-0005-0000-0000-0000A8010000}"/>
    <cellStyle name="Fixed" xfId="426" xr:uid="{00000000-0005-0000-0000-0000A9010000}"/>
    <cellStyle name="Fixed 2" xfId="427" xr:uid="{00000000-0005-0000-0000-0000AA010000}"/>
    <cellStyle name="Fixed 2 2" xfId="428" xr:uid="{00000000-0005-0000-0000-0000AB010000}"/>
    <cellStyle name="Fixed 2 3" xfId="429" xr:uid="{00000000-0005-0000-0000-0000AC010000}"/>
    <cellStyle name="Fixed 2 4" xfId="430" xr:uid="{00000000-0005-0000-0000-0000AD010000}"/>
    <cellStyle name="Fixed 2 5" xfId="431" xr:uid="{00000000-0005-0000-0000-0000AE010000}"/>
    <cellStyle name="Fixed 3" xfId="432" xr:uid="{00000000-0005-0000-0000-0000AF010000}"/>
    <cellStyle name="Good" xfId="433" builtinId="26" customBuiltin="1"/>
    <cellStyle name="Good 2" xfId="434" xr:uid="{00000000-0005-0000-0000-0000B1010000}"/>
    <cellStyle name="Good 2 2" xfId="435" xr:uid="{00000000-0005-0000-0000-0000B2010000}"/>
    <cellStyle name="Heading 1" xfId="436" builtinId="16" customBuiltin="1"/>
    <cellStyle name="Heading 1 2" xfId="437" xr:uid="{00000000-0005-0000-0000-0000B4010000}"/>
    <cellStyle name="Heading 1 2 2" xfId="438" xr:uid="{00000000-0005-0000-0000-0000B5010000}"/>
    <cellStyle name="Heading 1 3" xfId="439" xr:uid="{00000000-0005-0000-0000-0000B6010000}"/>
    <cellStyle name="Heading 1 3 2" xfId="440" xr:uid="{00000000-0005-0000-0000-0000B7010000}"/>
    <cellStyle name="Heading 2" xfId="441" builtinId="17" customBuiltin="1"/>
    <cellStyle name="Heading 2 2" xfId="442" xr:uid="{00000000-0005-0000-0000-0000B9010000}"/>
    <cellStyle name="Heading 2 2 2" xfId="443" xr:uid="{00000000-0005-0000-0000-0000BA010000}"/>
    <cellStyle name="Heading 2 3" xfId="444" xr:uid="{00000000-0005-0000-0000-0000BB010000}"/>
    <cellStyle name="Heading 2 3 2" xfId="445" xr:uid="{00000000-0005-0000-0000-0000BC010000}"/>
    <cellStyle name="Heading 3" xfId="446" builtinId="18" customBuiltin="1"/>
    <cellStyle name="Heading 3 2" xfId="447" xr:uid="{00000000-0005-0000-0000-0000BE010000}"/>
    <cellStyle name="Heading 3 2 2" xfId="448" xr:uid="{00000000-0005-0000-0000-0000BF010000}"/>
    <cellStyle name="Heading 4" xfId="449" builtinId="19" customBuiltin="1"/>
    <cellStyle name="Heading 4 2" xfId="450" xr:uid="{00000000-0005-0000-0000-0000C1010000}"/>
    <cellStyle name="Heading 4 2 2" xfId="451" xr:uid="{00000000-0005-0000-0000-0000C2010000}"/>
    <cellStyle name="Heading1" xfId="452" xr:uid="{00000000-0005-0000-0000-0000C3010000}"/>
    <cellStyle name="Heading2" xfId="453" xr:uid="{00000000-0005-0000-0000-0000C4010000}"/>
    <cellStyle name="Input" xfId="454" builtinId="20" customBuiltin="1"/>
    <cellStyle name="Input 2" xfId="455" xr:uid="{00000000-0005-0000-0000-0000C6010000}"/>
    <cellStyle name="Input 2 2" xfId="456" xr:uid="{00000000-0005-0000-0000-0000C7010000}"/>
    <cellStyle name="Linked Cell" xfId="457" builtinId="24" customBuiltin="1"/>
    <cellStyle name="Linked Cell 2" xfId="458" xr:uid="{00000000-0005-0000-0000-0000C9010000}"/>
    <cellStyle name="Linked Cell 2 2" xfId="459" xr:uid="{00000000-0005-0000-0000-0000CA010000}"/>
    <cellStyle name="M" xfId="460" xr:uid="{00000000-0005-0000-0000-0000CB010000}"/>
    <cellStyle name="M 2" xfId="461" xr:uid="{00000000-0005-0000-0000-0000CC010000}"/>
    <cellStyle name="M 2 2" xfId="462" xr:uid="{00000000-0005-0000-0000-0000CD010000}"/>
    <cellStyle name="M 2 2 2" xfId="463" xr:uid="{00000000-0005-0000-0000-0000CE010000}"/>
    <cellStyle name="M 3" xfId="464" xr:uid="{00000000-0005-0000-0000-0000CF010000}"/>
    <cellStyle name="M 3 2" xfId="465" xr:uid="{00000000-0005-0000-0000-0000D0010000}"/>
    <cellStyle name="M 3 2 2" xfId="466" xr:uid="{00000000-0005-0000-0000-0000D1010000}"/>
    <cellStyle name="M 4" xfId="467" xr:uid="{00000000-0005-0000-0000-0000D2010000}"/>
    <cellStyle name="M 5" xfId="468" xr:uid="{00000000-0005-0000-0000-0000D3010000}"/>
    <cellStyle name="M 5 2" xfId="469" xr:uid="{00000000-0005-0000-0000-0000D4010000}"/>
    <cellStyle name="M 6" xfId="470" xr:uid="{00000000-0005-0000-0000-0000D5010000}"/>
    <cellStyle name="M 6 2" xfId="471" xr:uid="{00000000-0005-0000-0000-0000D6010000}"/>
    <cellStyle name="M 7" xfId="472" xr:uid="{00000000-0005-0000-0000-0000D7010000}"/>
    <cellStyle name="Neutral" xfId="473" builtinId="28" customBuiltin="1"/>
    <cellStyle name="Neutral 2" xfId="474" xr:uid="{00000000-0005-0000-0000-0000D9010000}"/>
    <cellStyle name="Neutral 2 2" xfId="475" xr:uid="{00000000-0005-0000-0000-0000DA010000}"/>
    <cellStyle name="Normal" xfId="0" builtinId="0"/>
    <cellStyle name="Normal 10" xfId="476" xr:uid="{00000000-0005-0000-0000-0000DC010000}"/>
    <cellStyle name="Normal 10 2" xfId="477" xr:uid="{00000000-0005-0000-0000-0000DD010000}"/>
    <cellStyle name="Normal 11" xfId="478" xr:uid="{00000000-0005-0000-0000-0000DE010000}"/>
    <cellStyle name="Normal 11 2" xfId="479" xr:uid="{00000000-0005-0000-0000-0000DF010000}"/>
    <cellStyle name="Normal 11 3" xfId="480" xr:uid="{00000000-0005-0000-0000-0000E0010000}"/>
    <cellStyle name="Normal 12" xfId="481" xr:uid="{00000000-0005-0000-0000-0000E1010000}"/>
    <cellStyle name="Normal 12 2" xfId="482" xr:uid="{00000000-0005-0000-0000-0000E2010000}"/>
    <cellStyle name="Normal 12 3" xfId="483" xr:uid="{00000000-0005-0000-0000-0000E3010000}"/>
    <cellStyle name="Normal 2" xfId="484" xr:uid="{00000000-0005-0000-0000-0000E4010000}"/>
    <cellStyle name="Normal 2 2" xfId="485" xr:uid="{00000000-0005-0000-0000-0000E5010000}"/>
    <cellStyle name="Normal 2 2 2" xfId="486" xr:uid="{00000000-0005-0000-0000-0000E6010000}"/>
    <cellStyle name="Normal 2 2 3" xfId="487" xr:uid="{00000000-0005-0000-0000-0000E7010000}"/>
    <cellStyle name="Normal 2 2 4" xfId="488" xr:uid="{00000000-0005-0000-0000-0000E8010000}"/>
    <cellStyle name="Normal 3" xfId="489" xr:uid="{00000000-0005-0000-0000-0000E9010000}"/>
    <cellStyle name="Normal 3 2" xfId="490" xr:uid="{00000000-0005-0000-0000-0000EA010000}"/>
    <cellStyle name="Normal 3 2 2" xfId="491" xr:uid="{00000000-0005-0000-0000-0000EB010000}"/>
    <cellStyle name="Normal 3 3" xfId="492" xr:uid="{00000000-0005-0000-0000-0000EC010000}"/>
    <cellStyle name="Normal 3 3 2" xfId="493" xr:uid="{00000000-0005-0000-0000-0000ED010000}"/>
    <cellStyle name="Normal 3 3 3" xfId="494" xr:uid="{00000000-0005-0000-0000-0000EE010000}"/>
    <cellStyle name="Normal 3 3 4" xfId="495" xr:uid="{00000000-0005-0000-0000-0000EF010000}"/>
    <cellStyle name="Normal 3_OPCo Period I PJM  Formula Rate" xfId="496" xr:uid="{00000000-0005-0000-0000-0000F0010000}"/>
    <cellStyle name="Normal 35" xfId="497" xr:uid="{00000000-0005-0000-0000-0000F1010000}"/>
    <cellStyle name="Normal 4" xfId="498" xr:uid="{00000000-0005-0000-0000-0000F2010000}"/>
    <cellStyle name="Normal 4 2" xfId="499" xr:uid="{00000000-0005-0000-0000-0000F3010000}"/>
    <cellStyle name="Normal 4 2 2" xfId="500" xr:uid="{00000000-0005-0000-0000-0000F4010000}"/>
    <cellStyle name="Normal 4 3" xfId="501" xr:uid="{00000000-0005-0000-0000-0000F5010000}"/>
    <cellStyle name="Normal 4 3 2" xfId="502" xr:uid="{00000000-0005-0000-0000-0000F6010000}"/>
    <cellStyle name="Normal 4 3 2 2" xfId="503" xr:uid="{00000000-0005-0000-0000-0000F7010000}"/>
    <cellStyle name="Normal 4 3 2 3" xfId="504" xr:uid="{00000000-0005-0000-0000-0000F8010000}"/>
    <cellStyle name="Normal 4 3 3" xfId="505" xr:uid="{00000000-0005-0000-0000-0000F9010000}"/>
    <cellStyle name="Normal 4 3 3 2" xfId="506" xr:uid="{00000000-0005-0000-0000-0000FA010000}"/>
    <cellStyle name="Normal 4 3 3 2 2" xfId="507" xr:uid="{00000000-0005-0000-0000-0000FB010000}"/>
    <cellStyle name="Normal 4 3 3 2 3" xfId="508" xr:uid="{00000000-0005-0000-0000-0000FC010000}"/>
    <cellStyle name="Normal 4 3 3 2 4" xfId="509" xr:uid="{00000000-0005-0000-0000-0000FD010000}"/>
    <cellStyle name="Normal 4 3 3 3" xfId="510" xr:uid="{00000000-0005-0000-0000-0000FE010000}"/>
    <cellStyle name="Normal 4 3 4" xfId="511" xr:uid="{00000000-0005-0000-0000-0000FF010000}"/>
    <cellStyle name="Normal 4 3 5" xfId="512" xr:uid="{00000000-0005-0000-0000-000000020000}"/>
    <cellStyle name="Normal 4 3 5 2" xfId="513" xr:uid="{00000000-0005-0000-0000-000001020000}"/>
    <cellStyle name="Normal 4 3 5 3" xfId="514" xr:uid="{00000000-0005-0000-0000-000002020000}"/>
    <cellStyle name="Normal 4 3 5 4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4 3" xfId="518" xr:uid="{00000000-0005-0000-0000-000006020000}"/>
    <cellStyle name="Normal 4 4 4" xfId="519" xr:uid="{00000000-0005-0000-0000-000007020000}"/>
    <cellStyle name="Normal 4 4 4 2" xfId="520" xr:uid="{00000000-0005-0000-0000-000008020000}"/>
    <cellStyle name="Normal 4 4 4 3" xfId="521" xr:uid="{00000000-0005-0000-0000-000009020000}"/>
    <cellStyle name="Normal 4 4 4 4" xfId="522" xr:uid="{00000000-0005-0000-0000-00000A020000}"/>
    <cellStyle name="Normal 4 4 5" xfId="523" xr:uid="{00000000-0005-0000-0000-00000B020000}"/>
    <cellStyle name="Normal 4 5" xfId="524" xr:uid="{00000000-0005-0000-0000-00000C020000}"/>
    <cellStyle name="Normal 4 5 2" xfId="525" xr:uid="{00000000-0005-0000-0000-00000D020000}"/>
    <cellStyle name="Normal 4 5 2 2" xfId="526" xr:uid="{00000000-0005-0000-0000-00000E020000}"/>
    <cellStyle name="Normal 4 5 2 2 2" xfId="527" xr:uid="{00000000-0005-0000-0000-00000F020000}"/>
    <cellStyle name="Normal 4 5 2 2 3" xfId="528" xr:uid="{00000000-0005-0000-0000-000010020000}"/>
    <cellStyle name="Normal 4 5 2 2 4" xfId="529" xr:uid="{00000000-0005-0000-0000-000011020000}"/>
    <cellStyle name="Normal 4 5 3" xfId="530" xr:uid="{00000000-0005-0000-0000-000012020000}"/>
    <cellStyle name="Normal 4 6" xfId="531" xr:uid="{00000000-0005-0000-0000-000013020000}"/>
    <cellStyle name="Normal 4 7" xfId="532" xr:uid="{00000000-0005-0000-0000-000014020000}"/>
    <cellStyle name="Normal 4 8" xfId="533" xr:uid="{00000000-0005-0000-0000-000015020000}"/>
    <cellStyle name="Normal 4_PBOP Exhibit 1" xfId="534" xr:uid="{00000000-0005-0000-0000-000016020000}"/>
    <cellStyle name="Normal 5" xfId="535" xr:uid="{00000000-0005-0000-0000-000017020000}"/>
    <cellStyle name="Normal 5 2" xfId="536" xr:uid="{00000000-0005-0000-0000-000018020000}"/>
    <cellStyle name="Normal 5 2 2" xfId="537" xr:uid="{00000000-0005-0000-0000-000019020000}"/>
    <cellStyle name="Normal 5 2 3" xfId="538" xr:uid="{00000000-0005-0000-0000-00001A020000}"/>
    <cellStyle name="Normal 5 2 4" xfId="539" xr:uid="{00000000-0005-0000-0000-00001B020000}"/>
    <cellStyle name="Normal 6" xfId="540" xr:uid="{00000000-0005-0000-0000-00001C020000}"/>
    <cellStyle name="Normal 6 2" xfId="541" xr:uid="{00000000-0005-0000-0000-00001D020000}"/>
    <cellStyle name="Normal 7" xfId="542" xr:uid="{00000000-0005-0000-0000-00001E020000}"/>
    <cellStyle name="Normal 7 2" xfId="543" xr:uid="{00000000-0005-0000-0000-00001F020000}"/>
    <cellStyle name="Normal 7 3" xfId="544" xr:uid="{00000000-0005-0000-0000-000020020000}"/>
    <cellStyle name="Normal 8" xfId="545" xr:uid="{00000000-0005-0000-0000-000021020000}"/>
    <cellStyle name="Normal 8 2" xfId="546" xr:uid="{00000000-0005-0000-0000-000022020000}"/>
    <cellStyle name="Normal 9" xfId="547" xr:uid="{00000000-0005-0000-0000-000023020000}"/>
    <cellStyle name="Normal 9 2" xfId="548" xr:uid="{00000000-0005-0000-0000-000024020000}"/>
    <cellStyle name="Normal_FN1 Ratebase Draft SPP template (6-11-04) v2" xfId="549" xr:uid="{00000000-0005-0000-0000-000025020000}"/>
    <cellStyle name="Note" xfId="550" builtinId="10" customBuiltin="1"/>
    <cellStyle name="Note 2" xfId="551" xr:uid="{00000000-0005-0000-0000-000027020000}"/>
    <cellStyle name="Note 2 2" xfId="552" xr:uid="{00000000-0005-0000-0000-000028020000}"/>
    <cellStyle name="Note 2 2 2" xfId="553" xr:uid="{00000000-0005-0000-0000-000029020000}"/>
    <cellStyle name="Note 2 2 3" xfId="554" xr:uid="{00000000-0005-0000-0000-00002A020000}"/>
    <cellStyle name="Note 2 2 4" xfId="555" xr:uid="{00000000-0005-0000-0000-00002B020000}"/>
    <cellStyle name="Output" xfId="556" builtinId="21" customBuiltin="1"/>
    <cellStyle name="Output 2" xfId="557" xr:uid="{00000000-0005-0000-0000-00002D020000}"/>
    <cellStyle name="Output 2 2" xfId="558" xr:uid="{00000000-0005-0000-0000-00002E020000}"/>
    <cellStyle name="Percent" xfId="559" builtinId="5"/>
    <cellStyle name="Percent 10" xfId="560" xr:uid="{00000000-0005-0000-0000-000030020000}"/>
    <cellStyle name="Percent 2" xfId="561" xr:uid="{00000000-0005-0000-0000-000031020000}"/>
    <cellStyle name="Percent 2 2" xfId="562" xr:uid="{00000000-0005-0000-0000-000032020000}"/>
    <cellStyle name="Percent 2 2 2" xfId="563" xr:uid="{00000000-0005-0000-0000-000033020000}"/>
    <cellStyle name="Percent 2 3" xfId="564" xr:uid="{00000000-0005-0000-0000-000034020000}"/>
    <cellStyle name="Percent 3" xfId="565" xr:uid="{00000000-0005-0000-0000-000035020000}"/>
    <cellStyle name="Percent 3 2" xfId="566" xr:uid="{00000000-0005-0000-0000-000036020000}"/>
    <cellStyle name="Percent 3 2 2" xfId="567" xr:uid="{00000000-0005-0000-0000-000037020000}"/>
    <cellStyle name="Percent 3 3" xfId="568" xr:uid="{00000000-0005-0000-0000-000038020000}"/>
    <cellStyle name="Percent 3 3 2" xfId="569" xr:uid="{00000000-0005-0000-0000-000039020000}"/>
    <cellStyle name="Percent 3 3 2 2" xfId="570" xr:uid="{00000000-0005-0000-0000-00003A020000}"/>
    <cellStyle name="Percent 3 3 2 3" xfId="571" xr:uid="{00000000-0005-0000-0000-00003B020000}"/>
    <cellStyle name="Percent 3 3 3" xfId="572" xr:uid="{00000000-0005-0000-0000-00003C020000}"/>
    <cellStyle name="Percent 3 3 3 2" xfId="573" xr:uid="{00000000-0005-0000-0000-00003D020000}"/>
    <cellStyle name="Percent 3 3 3 2 2" xfId="574" xr:uid="{00000000-0005-0000-0000-00003E020000}"/>
    <cellStyle name="Percent 3 3 3 2 3" xfId="575" xr:uid="{00000000-0005-0000-0000-00003F020000}"/>
    <cellStyle name="Percent 3 3 3 2 4" xfId="576" xr:uid="{00000000-0005-0000-0000-000040020000}"/>
    <cellStyle name="Percent 3 3 3 3" xfId="577" xr:uid="{00000000-0005-0000-0000-000041020000}"/>
    <cellStyle name="Percent 3 3 4" xfId="578" xr:uid="{00000000-0005-0000-0000-000042020000}"/>
    <cellStyle name="Percent 3 3 5" xfId="579" xr:uid="{00000000-0005-0000-0000-000043020000}"/>
    <cellStyle name="Percent 3 3 5 2" xfId="580" xr:uid="{00000000-0005-0000-0000-000044020000}"/>
    <cellStyle name="Percent 3 3 5 3" xfId="581" xr:uid="{00000000-0005-0000-0000-000045020000}"/>
    <cellStyle name="Percent 3 3 5 4" xfId="582" xr:uid="{00000000-0005-0000-0000-000046020000}"/>
    <cellStyle name="Percent 3 4" xfId="583" xr:uid="{00000000-0005-0000-0000-000047020000}"/>
    <cellStyle name="Percent 3 4 2" xfId="584" xr:uid="{00000000-0005-0000-0000-000048020000}"/>
    <cellStyle name="Percent 3 4 3" xfId="585" xr:uid="{00000000-0005-0000-0000-000049020000}"/>
    <cellStyle name="Percent 3 4 4" xfId="586" xr:uid="{00000000-0005-0000-0000-00004A020000}"/>
    <cellStyle name="Percent 3 4 4 2" xfId="587" xr:uid="{00000000-0005-0000-0000-00004B020000}"/>
    <cellStyle name="Percent 3 4 4 3" xfId="588" xr:uid="{00000000-0005-0000-0000-00004C020000}"/>
    <cellStyle name="Percent 3 4 4 4" xfId="589" xr:uid="{00000000-0005-0000-0000-00004D020000}"/>
    <cellStyle name="Percent 3 4 5" xfId="590" xr:uid="{00000000-0005-0000-0000-00004E020000}"/>
    <cellStyle name="Percent 3 5" xfId="591" xr:uid="{00000000-0005-0000-0000-00004F020000}"/>
    <cellStyle name="Percent 3 5 2" xfId="592" xr:uid="{00000000-0005-0000-0000-000050020000}"/>
    <cellStyle name="Percent 3 6" xfId="593" xr:uid="{00000000-0005-0000-0000-000051020000}"/>
    <cellStyle name="Percent 3 7" xfId="594" xr:uid="{00000000-0005-0000-0000-000052020000}"/>
    <cellStyle name="Percent 3 8" xfId="595" xr:uid="{00000000-0005-0000-0000-000053020000}"/>
    <cellStyle name="Percent 4" xfId="596" xr:uid="{00000000-0005-0000-0000-000054020000}"/>
    <cellStyle name="Percent 4 2" xfId="597" xr:uid="{00000000-0005-0000-0000-000055020000}"/>
    <cellStyle name="Percent 4 2 2" xfId="598" xr:uid="{00000000-0005-0000-0000-000056020000}"/>
    <cellStyle name="Percent 4 2 3" xfId="599" xr:uid="{00000000-0005-0000-0000-000057020000}"/>
    <cellStyle name="Percent 4 3" xfId="600" xr:uid="{00000000-0005-0000-0000-000058020000}"/>
    <cellStyle name="Percent 4 3 2" xfId="601" xr:uid="{00000000-0005-0000-0000-000059020000}"/>
    <cellStyle name="Percent 4 3 2 2" xfId="602" xr:uid="{00000000-0005-0000-0000-00005A020000}"/>
    <cellStyle name="Percent 4 3 2 3" xfId="603" xr:uid="{00000000-0005-0000-0000-00005B020000}"/>
    <cellStyle name="Percent 4 3 2 4" xfId="604" xr:uid="{00000000-0005-0000-0000-00005C020000}"/>
    <cellStyle name="Percent 4 3 3" xfId="605" xr:uid="{00000000-0005-0000-0000-00005D020000}"/>
    <cellStyle name="Percent 4 4" xfId="606" xr:uid="{00000000-0005-0000-0000-00005E020000}"/>
    <cellStyle name="Percent 4 5" xfId="607" xr:uid="{00000000-0005-0000-0000-00005F020000}"/>
    <cellStyle name="Percent 4 5 2" xfId="608" xr:uid="{00000000-0005-0000-0000-000060020000}"/>
    <cellStyle name="Percent 4 5 3" xfId="609" xr:uid="{00000000-0005-0000-0000-000061020000}"/>
    <cellStyle name="Percent 4 5 4" xfId="610" xr:uid="{00000000-0005-0000-0000-000062020000}"/>
    <cellStyle name="Percent 5" xfId="611" xr:uid="{00000000-0005-0000-0000-000063020000}"/>
    <cellStyle name="Percent 5 2" xfId="612" xr:uid="{00000000-0005-0000-0000-000064020000}"/>
    <cellStyle name="Percent 5 3" xfId="613" xr:uid="{00000000-0005-0000-0000-000065020000}"/>
    <cellStyle name="Percent 5 4" xfId="614" xr:uid="{00000000-0005-0000-0000-000066020000}"/>
    <cellStyle name="Percent 5 4 2" xfId="615" xr:uid="{00000000-0005-0000-0000-000067020000}"/>
    <cellStyle name="Percent 5 4 3" xfId="616" xr:uid="{00000000-0005-0000-0000-000068020000}"/>
    <cellStyle name="Percent 5 4 4" xfId="617" xr:uid="{00000000-0005-0000-0000-000069020000}"/>
    <cellStyle name="Percent 5 5" xfId="618" xr:uid="{00000000-0005-0000-0000-00006A020000}"/>
    <cellStyle name="Percent 6" xfId="619" xr:uid="{00000000-0005-0000-0000-00006B020000}"/>
    <cellStyle name="Percent 6 2" xfId="620" xr:uid="{00000000-0005-0000-0000-00006C020000}"/>
    <cellStyle name="Percent 7" xfId="621" xr:uid="{00000000-0005-0000-0000-00006D020000}"/>
    <cellStyle name="Percent 7 2" xfId="622" xr:uid="{00000000-0005-0000-0000-00006E020000}"/>
    <cellStyle name="Percent 7 2 2" xfId="623" xr:uid="{00000000-0005-0000-0000-00006F020000}"/>
    <cellStyle name="Percent 7 2 2 2" xfId="624" xr:uid="{00000000-0005-0000-0000-000070020000}"/>
    <cellStyle name="Percent 7 2 2 2 2" xfId="625" xr:uid="{00000000-0005-0000-0000-000071020000}"/>
    <cellStyle name="Percent 7 2 2 3" xfId="626" xr:uid="{00000000-0005-0000-0000-000072020000}"/>
    <cellStyle name="Percent 7 2 2 3 2" xfId="627" xr:uid="{00000000-0005-0000-0000-000073020000}"/>
    <cellStyle name="Percent 7 2 2 4" xfId="628" xr:uid="{00000000-0005-0000-0000-000074020000}"/>
    <cellStyle name="Percent 7 2 3" xfId="629" xr:uid="{00000000-0005-0000-0000-000075020000}"/>
    <cellStyle name="Percent 7 2 3 2" xfId="630" xr:uid="{00000000-0005-0000-0000-000076020000}"/>
    <cellStyle name="Percent 7 2 4" xfId="631" xr:uid="{00000000-0005-0000-0000-000077020000}"/>
    <cellStyle name="Percent 7 2 4 2" xfId="632" xr:uid="{00000000-0005-0000-0000-000078020000}"/>
    <cellStyle name="Percent 7 2 4 3" xfId="633" xr:uid="{00000000-0005-0000-0000-000079020000}"/>
    <cellStyle name="Percent 7 2 5" xfId="634" xr:uid="{00000000-0005-0000-0000-00007A020000}"/>
    <cellStyle name="Percent 7 2 5 2" xfId="635" xr:uid="{00000000-0005-0000-0000-00007B020000}"/>
    <cellStyle name="Percent 7 3" xfId="636" xr:uid="{00000000-0005-0000-0000-00007C020000}"/>
    <cellStyle name="Percent 7 4" xfId="637" xr:uid="{00000000-0005-0000-0000-00007D020000}"/>
    <cellStyle name="Percent 7 5" xfId="638" xr:uid="{00000000-0005-0000-0000-00007E020000}"/>
    <cellStyle name="Percent 8" xfId="639" xr:uid="{00000000-0005-0000-0000-00007F020000}"/>
    <cellStyle name="Percent 9" xfId="640" xr:uid="{00000000-0005-0000-0000-000080020000}"/>
    <cellStyle name="PSChar" xfId="641" xr:uid="{00000000-0005-0000-0000-000081020000}"/>
    <cellStyle name="PSChar 2" xfId="642" xr:uid="{00000000-0005-0000-0000-000082020000}"/>
    <cellStyle name="PSChar 2 2" xfId="643" xr:uid="{00000000-0005-0000-0000-000083020000}"/>
    <cellStyle name="PSChar 3" xfId="644" xr:uid="{00000000-0005-0000-0000-000084020000}"/>
    <cellStyle name="PSChar 4" xfId="645" xr:uid="{00000000-0005-0000-0000-000085020000}"/>
    <cellStyle name="PSChar 4 2" xfId="646" xr:uid="{00000000-0005-0000-0000-000086020000}"/>
    <cellStyle name="PSChar 5" xfId="647" xr:uid="{00000000-0005-0000-0000-000087020000}"/>
    <cellStyle name="PSChar 5 2" xfId="648" xr:uid="{00000000-0005-0000-0000-000088020000}"/>
    <cellStyle name="PSDate" xfId="649" xr:uid="{00000000-0005-0000-0000-000089020000}"/>
    <cellStyle name="PSDate 2" xfId="650" xr:uid="{00000000-0005-0000-0000-00008A020000}"/>
    <cellStyle name="PSDate 3" xfId="651" xr:uid="{00000000-0005-0000-0000-00008B020000}"/>
    <cellStyle name="PSDate 4" xfId="652" xr:uid="{00000000-0005-0000-0000-00008C020000}"/>
    <cellStyle name="PSDate 4 2" xfId="653" xr:uid="{00000000-0005-0000-0000-00008D020000}"/>
    <cellStyle name="PSDate 5" xfId="654" xr:uid="{00000000-0005-0000-0000-00008E020000}"/>
    <cellStyle name="PSDate 5 2" xfId="655" xr:uid="{00000000-0005-0000-0000-00008F020000}"/>
    <cellStyle name="PSDec" xfId="656" xr:uid="{00000000-0005-0000-0000-000090020000}"/>
    <cellStyle name="PSDec 2" xfId="657" xr:uid="{00000000-0005-0000-0000-000091020000}"/>
    <cellStyle name="PSDec 3" xfId="658" xr:uid="{00000000-0005-0000-0000-000092020000}"/>
    <cellStyle name="PSDec 4" xfId="659" xr:uid="{00000000-0005-0000-0000-000093020000}"/>
    <cellStyle name="PSDec 4 2" xfId="660" xr:uid="{00000000-0005-0000-0000-000094020000}"/>
    <cellStyle name="PSDec 5" xfId="661" xr:uid="{00000000-0005-0000-0000-000095020000}"/>
    <cellStyle name="PSDec 5 2" xfId="662" xr:uid="{00000000-0005-0000-0000-000096020000}"/>
    <cellStyle name="PSdesc" xfId="663" xr:uid="{00000000-0005-0000-0000-000097020000}"/>
    <cellStyle name="PSdesc 2" xfId="664" xr:uid="{00000000-0005-0000-0000-000098020000}"/>
    <cellStyle name="PSHeading" xfId="665" xr:uid="{00000000-0005-0000-0000-000099020000}"/>
    <cellStyle name="PSHeading 2" xfId="666" xr:uid="{00000000-0005-0000-0000-00009A020000}"/>
    <cellStyle name="PSHeading 3" xfId="667" xr:uid="{00000000-0005-0000-0000-00009B020000}"/>
    <cellStyle name="PSHeading 4" xfId="668" xr:uid="{00000000-0005-0000-0000-00009C020000}"/>
    <cellStyle name="PSHeading 5" xfId="669" xr:uid="{00000000-0005-0000-0000-00009D020000}"/>
    <cellStyle name="PSHeading 5 2" xfId="670" xr:uid="{00000000-0005-0000-0000-00009E020000}"/>
    <cellStyle name="PSHeading 6" xfId="671" xr:uid="{00000000-0005-0000-0000-00009F020000}"/>
    <cellStyle name="PSHeading 6 2" xfId="672" xr:uid="{00000000-0005-0000-0000-0000A0020000}"/>
    <cellStyle name="PSInt" xfId="673" xr:uid="{00000000-0005-0000-0000-0000A1020000}"/>
    <cellStyle name="PSInt 2" xfId="674" xr:uid="{00000000-0005-0000-0000-0000A2020000}"/>
    <cellStyle name="PSInt 3" xfId="675" xr:uid="{00000000-0005-0000-0000-0000A3020000}"/>
    <cellStyle name="PSInt 4" xfId="676" xr:uid="{00000000-0005-0000-0000-0000A4020000}"/>
    <cellStyle name="PSInt 4 2" xfId="677" xr:uid="{00000000-0005-0000-0000-0000A5020000}"/>
    <cellStyle name="PSInt 5" xfId="678" xr:uid="{00000000-0005-0000-0000-0000A6020000}"/>
    <cellStyle name="PSInt 5 2" xfId="679" xr:uid="{00000000-0005-0000-0000-0000A7020000}"/>
    <cellStyle name="PSSpacer" xfId="680" xr:uid="{00000000-0005-0000-0000-0000A8020000}"/>
    <cellStyle name="PSSpacer 2" xfId="681" xr:uid="{00000000-0005-0000-0000-0000A9020000}"/>
    <cellStyle name="PSSpacer 3" xfId="682" xr:uid="{00000000-0005-0000-0000-0000AA020000}"/>
    <cellStyle name="PSSpacer 3 2" xfId="683" xr:uid="{00000000-0005-0000-0000-0000AB020000}"/>
    <cellStyle name="PStest" xfId="684" xr:uid="{00000000-0005-0000-0000-0000AC020000}"/>
    <cellStyle name="PStest 2" xfId="685" xr:uid="{00000000-0005-0000-0000-0000AD020000}"/>
    <cellStyle name="R00A" xfId="686" xr:uid="{00000000-0005-0000-0000-0000AE020000}"/>
    <cellStyle name="R00B" xfId="687" xr:uid="{00000000-0005-0000-0000-0000AF020000}"/>
    <cellStyle name="R00L" xfId="688" xr:uid="{00000000-0005-0000-0000-0000B0020000}"/>
    <cellStyle name="R01A" xfId="689" xr:uid="{00000000-0005-0000-0000-0000B1020000}"/>
    <cellStyle name="R01B" xfId="690" xr:uid="{00000000-0005-0000-0000-0000B2020000}"/>
    <cellStyle name="R01H" xfId="691" xr:uid="{00000000-0005-0000-0000-0000B3020000}"/>
    <cellStyle name="R01L" xfId="692" xr:uid="{00000000-0005-0000-0000-0000B4020000}"/>
    <cellStyle name="R02A" xfId="693" xr:uid="{00000000-0005-0000-0000-0000B5020000}"/>
    <cellStyle name="R02B" xfId="694" xr:uid="{00000000-0005-0000-0000-0000B6020000}"/>
    <cellStyle name="R02B 2" xfId="695" xr:uid="{00000000-0005-0000-0000-0000B7020000}"/>
    <cellStyle name="R02H" xfId="696" xr:uid="{00000000-0005-0000-0000-0000B8020000}"/>
    <cellStyle name="R02L" xfId="697" xr:uid="{00000000-0005-0000-0000-0000B9020000}"/>
    <cellStyle name="R03A" xfId="698" xr:uid="{00000000-0005-0000-0000-0000BA020000}"/>
    <cellStyle name="R03B" xfId="699" xr:uid="{00000000-0005-0000-0000-0000BB020000}"/>
    <cellStyle name="R03B 2" xfId="700" xr:uid="{00000000-0005-0000-0000-0000BC020000}"/>
    <cellStyle name="R03H" xfId="701" xr:uid="{00000000-0005-0000-0000-0000BD020000}"/>
    <cellStyle name="R03L" xfId="702" xr:uid="{00000000-0005-0000-0000-0000BE020000}"/>
    <cellStyle name="R04A" xfId="703" xr:uid="{00000000-0005-0000-0000-0000BF020000}"/>
    <cellStyle name="R04B" xfId="704" xr:uid="{00000000-0005-0000-0000-0000C0020000}"/>
    <cellStyle name="R04B 2" xfId="705" xr:uid="{00000000-0005-0000-0000-0000C1020000}"/>
    <cellStyle name="R04H" xfId="706" xr:uid="{00000000-0005-0000-0000-0000C2020000}"/>
    <cellStyle name="R04L" xfId="707" xr:uid="{00000000-0005-0000-0000-0000C3020000}"/>
    <cellStyle name="R05A" xfId="708" xr:uid="{00000000-0005-0000-0000-0000C4020000}"/>
    <cellStyle name="R05B" xfId="709" xr:uid="{00000000-0005-0000-0000-0000C5020000}"/>
    <cellStyle name="R05B 2" xfId="710" xr:uid="{00000000-0005-0000-0000-0000C6020000}"/>
    <cellStyle name="R05H" xfId="711" xr:uid="{00000000-0005-0000-0000-0000C7020000}"/>
    <cellStyle name="R05L" xfId="712" xr:uid="{00000000-0005-0000-0000-0000C8020000}"/>
    <cellStyle name="R05L 2" xfId="713" xr:uid="{00000000-0005-0000-0000-0000C9020000}"/>
    <cellStyle name="R06A" xfId="714" xr:uid="{00000000-0005-0000-0000-0000CA020000}"/>
    <cellStyle name="R06B" xfId="715" xr:uid="{00000000-0005-0000-0000-0000CB020000}"/>
    <cellStyle name="R06B 2" xfId="716" xr:uid="{00000000-0005-0000-0000-0000CC020000}"/>
    <cellStyle name="R06H" xfId="717" xr:uid="{00000000-0005-0000-0000-0000CD020000}"/>
    <cellStyle name="R06L" xfId="718" xr:uid="{00000000-0005-0000-0000-0000CE020000}"/>
    <cellStyle name="R07A" xfId="719" xr:uid="{00000000-0005-0000-0000-0000CF020000}"/>
    <cellStyle name="R07B" xfId="720" xr:uid="{00000000-0005-0000-0000-0000D0020000}"/>
    <cellStyle name="R07B 2" xfId="721" xr:uid="{00000000-0005-0000-0000-0000D1020000}"/>
    <cellStyle name="R07H" xfId="722" xr:uid="{00000000-0005-0000-0000-0000D2020000}"/>
    <cellStyle name="R07L" xfId="723" xr:uid="{00000000-0005-0000-0000-0000D3020000}"/>
    <cellStyle name="Title" xfId="724" builtinId="15" customBuiltin="1"/>
    <cellStyle name="Title 2" xfId="725" xr:uid="{00000000-0005-0000-0000-0000D5020000}"/>
    <cellStyle name="Title 2 2" xfId="726" xr:uid="{00000000-0005-0000-0000-0000D6020000}"/>
    <cellStyle name="Total" xfId="727" builtinId="25" customBuiltin="1"/>
    <cellStyle name="Total 2" xfId="728" xr:uid="{00000000-0005-0000-0000-0000D8020000}"/>
    <cellStyle name="Total 2 2" xfId="729" xr:uid="{00000000-0005-0000-0000-0000D9020000}"/>
    <cellStyle name="Total 3" xfId="730" xr:uid="{00000000-0005-0000-0000-0000DA020000}"/>
    <cellStyle name="Total 3 2" xfId="731" xr:uid="{00000000-0005-0000-0000-0000DB020000}"/>
    <cellStyle name="Warning Text" xfId="732" builtinId="11" customBuiltin="1"/>
    <cellStyle name="Warning Text 2" xfId="733" xr:uid="{00000000-0005-0000-0000-0000DD020000}"/>
    <cellStyle name="Warning Text 2 2" xfId="734" xr:uid="{00000000-0005-0000-0000-0000DE020000}"/>
  </cellStyles>
  <dxfs count="6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B00-0000F52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C00-0000F25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D00-0000F45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E00-0000F25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F00-0000F26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1000-0000EF6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1100-0000B86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1200-0000B57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1300-0000807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1400-0000807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1500-0000039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1600-0000039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1700-0000039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1800-000003A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1900-00005EA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1A00-00005EA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1B00-00000FB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1C00-00000FC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1D00-00000FC4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1E00-00000FC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15875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AF117FD-76E6-49EC-9EF2-8B5FC40C6226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3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9CE5BC-D211-4ADF-B91D-8A549748BFC3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3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CA0CDC1-8A43-4F32-9FF5-BD0A38309929}"/>
            </a:ext>
          </a:extLst>
        </xdr:cNvPr>
        <xdr:cNvSpPr txBox="1">
          <a:spLocks noChangeArrowheads="1"/>
        </xdr:cNvSpPr>
      </xdr:nvSpPr>
      <xdr:spPr bwMode="auto">
        <a:xfrm>
          <a:off x="3917950" y="0"/>
          <a:ext cx="114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2000-0000F33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800-0000F51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900-0000F22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96"/>
  <sheetViews>
    <sheetView tabSelected="1" zoomScale="70" zoomScaleNormal="70" zoomScaleSheetLayoutView="75" workbookViewId="0">
      <selection activeCell="C5" sqref="C5"/>
    </sheetView>
  </sheetViews>
  <sheetFormatPr defaultColWidth="8.7109375" defaultRowHeight="12.75" customHeight="1"/>
  <cols>
    <col min="1" max="1" width="7.42578125" style="148" customWidth="1"/>
    <col min="2" max="2" width="7" style="148" bestFit="1" customWidth="1"/>
    <col min="3" max="3" width="43.140625" style="148" customWidth="1"/>
    <col min="4" max="4" width="9.5703125" style="148" customWidth="1"/>
    <col min="5" max="7" width="15.42578125" style="148" bestFit="1" customWidth="1"/>
    <col min="8" max="8" width="2.85546875" style="148" customWidth="1"/>
    <col min="9" max="9" width="13.5703125" style="148" bestFit="1" customWidth="1"/>
    <col min="10" max="10" width="13.28515625" style="148" customWidth="1"/>
    <col min="11" max="11" width="14.85546875" style="148" customWidth="1"/>
    <col min="12" max="12" width="15.28515625" style="148" customWidth="1"/>
    <col min="13" max="13" width="2.42578125" style="148" customWidth="1"/>
    <col min="14" max="14" width="6.140625" style="148" customWidth="1"/>
    <col min="15" max="15" width="8.7109375" style="148" customWidth="1"/>
    <col min="16" max="16" width="10.7109375" style="148" customWidth="1"/>
    <col min="17" max="17" width="14.42578125" style="148" customWidth="1"/>
    <col min="18" max="18" width="18.7109375" style="148" customWidth="1"/>
    <col min="19" max="19" width="2.42578125" style="148" customWidth="1"/>
    <col min="20" max="20" width="19.140625" style="148" bestFit="1" customWidth="1"/>
    <col min="21" max="21" width="8.7109375" style="148"/>
    <col min="22" max="22" width="13.85546875" style="148" customWidth="1"/>
    <col min="23" max="28" width="8.7109375" style="148"/>
    <col min="29" max="29" width="9.140625" style="148" customWidth="1"/>
    <col min="30" max="16384" width="8.7109375" style="148"/>
  </cols>
  <sheetData>
    <row r="1" spans="1:23" ht="15">
      <c r="H1" s="149" t="s">
        <v>157</v>
      </c>
      <c r="U1" s="148">
        <v>2022</v>
      </c>
    </row>
    <row r="2" spans="1:23" ht="15">
      <c r="H2" s="150" t="s">
        <v>189</v>
      </c>
      <c r="U2" s="148">
        <f>+U1+1</f>
        <v>2023</v>
      </c>
    </row>
    <row r="3" spans="1:23" ht="15">
      <c r="H3" s="151" t="str">
        <f>"For Calendar Year "&amp;U1&amp;" and Projected Year "&amp;U1+1</f>
        <v>For Calendar Year 2022 and Projected Year 2023</v>
      </c>
    </row>
    <row r="4" spans="1:23" ht="15">
      <c r="H4" s="152"/>
    </row>
    <row r="5" spans="1:23" ht="15.7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>
      <c r="D8" s="155"/>
    </row>
    <row r="9" spans="1:23">
      <c r="A9" s="148" t="s">
        <v>257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706" t="str">
        <f>"Projected ARR For "&amp;U2&amp;" From WS-F"</f>
        <v>Projected ARR For 2023 From WS-F</v>
      </c>
      <c r="F13" s="706"/>
      <c r="G13" s="706"/>
      <c r="H13" s="160"/>
      <c r="I13" s="161" t="s">
        <v>336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707" t="str">
        <f>"Total ADJUSTED Revenue Requirement Effective
1/1/"&amp;U2&amp;""</f>
        <v>Total ADJUSTED Revenue Requirement Effective
1/1/2023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707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707"/>
      <c r="V16" s="177" t="s">
        <v>200</v>
      </c>
    </row>
    <row r="17" spans="1:2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>
      <c r="A18" s="156" t="s">
        <v>178</v>
      </c>
      <c r="B18" s="156" t="s">
        <v>117</v>
      </c>
      <c r="C18" s="180" t="str">
        <f t="shared" ref="C18:D48" ca="1" si="0">INDIRECT("'"&amp; $A18 &amp; "'!" &amp;C$57)</f>
        <v>Riverside-Glenpool (81-523) Reconductor</v>
      </c>
      <c r="D18" s="181">
        <f t="shared" ca="1" si="0"/>
        <v>2009</v>
      </c>
      <c r="E18" s="182">
        <v>0</v>
      </c>
      <c r="F18" s="183">
        <f t="shared" ref="F18:F45" ca="1" si="1">INDIRECT("'"&amp; $A18 &amp; "'!" &amp;F$57)</f>
        <v>0</v>
      </c>
      <c r="G18" s="183">
        <f t="shared" ref="G18:G27" ca="1" si="2">+E18+F18</f>
        <v>0</v>
      </c>
      <c r="H18" s="184"/>
      <c r="I18" s="185">
        <f t="shared" ref="I18:I48" ca="1" si="3">INDIRECT("'"&amp; $A18 &amp; "'!" &amp;I$57)</f>
        <v>3487.7599528089777</v>
      </c>
      <c r="J18" s="703">
        <v>85990.398999426339</v>
      </c>
      <c r="K18" s="186">
        <f t="shared" ref="K18:K45" si="4">J18/J$50*K$50</f>
        <v>91256.790468430554</v>
      </c>
      <c r="L18" s="182">
        <f t="shared" ref="L18:L27" si="5">+J18-K18</f>
        <v>-5266.3914690042147</v>
      </c>
      <c r="M18" s="182"/>
      <c r="N18" s="183">
        <v>0</v>
      </c>
      <c r="O18" s="183">
        <v>0</v>
      </c>
      <c r="P18" s="183">
        <f t="shared" ref="P18:P26" si="6">+N18-O18</f>
        <v>0</v>
      </c>
      <c r="Q18" s="182">
        <f t="shared" ref="Q18:Q43" ca="1" si="7">+V18/$V$50 * $Q$50</f>
        <v>-243.85537678949984</v>
      </c>
      <c r="R18" s="187">
        <f t="shared" ref="R18:R27" ca="1" si="8">I18+L18+P18+Q18</f>
        <v>-2022.4868929847369</v>
      </c>
      <c r="S18" s="187"/>
      <c r="T18" s="188">
        <f t="shared" ref="T18:T27" ca="1" si="9">+G18+R18</f>
        <v>-2022.4868929847369</v>
      </c>
      <c r="V18" s="189">
        <f t="shared" ref="V18:V27" ca="1" si="10">+I18+L18+P18</f>
        <v>-1778.6315161952371</v>
      </c>
      <c r="W18" s="159" t="str">
        <f>A18</f>
        <v>P.001</v>
      </c>
    </row>
    <row r="19" spans="1:23" ht="25.5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182">
        <v>0</v>
      </c>
      <c r="F19" s="183">
        <f t="shared" ca="1" si="1"/>
        <v>0</v>
      </c>
      <c r="G19" s="183">
        <f t="shared" ca="1" si="2"/>
        <v>0</v>
      </c>
      <c r="H19" s="184"/>
      <c r="I19" s="185">
        <f t="shared" ca="1" si="3"/>
        <v>22420.990768281859</v>
      </c>
      <c r="J19" s="703">
        <v>450370.8556718303</v>
      </c>
      <c r="K19" s="186">
        <f t="shared" si="4"/>
        <v>477953.34464497812</v>
      </c>
      <c r="L19" s="182">
        <f t="shared" si="5"/>
        <v>-27582.488973147818</v>
      </c>
      <c r="M19" s="182"/>
      <c r="N19" s="183">
        <v>0</v>
      </c>
      <c r="O19" s="183">
        <v>0</v>
      </c>
      <c r="P19" s="183">
        <f t="shared" si="6"/>
        <v>0</v>
      </c>
      <c r="Q19" s="182">
        <f t="shared" ca="1" si="7"/>
        <v>-707.6559017903711</v>
      </c>
      <c r="R19" s="187">
        <f t="shared" ca="1" si="8"/>
        <v>-5869.1541066563295</v>
      </c>
      <c r="S19" s="187"/>
      <c r="T19" s="190">
        <f t="shared" ca="1" si="9"/>
        <v>-5869.1541066563295</v>
      </c>
      <c r="V19" s="189">
        <f t="shared" ca="1" si="10"/>
        <v>-5161.4982048659585</v>
      </c>
      <c r="W19" s="159" t="str">
        <f t="shared" ref="W19:W25" si="11">A19</f>
        <v>P.002</v>
      </c>
    </row>
    <row r="20" spans="1:23" ht="25.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182">
        <v>0</v>
      </c>
      <c r="F20" s="183">
        <f t="shared" ca="1" si="1"/>
        <v>0</v>
      </c>
      <c r="G20" s="183">
        <f t="shared" ca="1" si="2"/>
        <v>0</v>
      </c>
      <c r="H20" s="184"/>
      <c r="I20" s="185">
        <f t="shared" ca="1" si="3"/>
        <v>50132.925547759747</v>
      </c>
      <c r="J20" s="703">
        <v>1110409.9943447986</v>
      </c>
      <c r="K20" s="186">
        <f t="shared" si="4"/>
        <v>1178415.8855763709</v>
      </c>
      <c r="L20" s="182">
        <f t="shared" si="5"/>
        <v>-68005.891231572255</v>
      </c>
      <c r="M20" s="182"/>
      <c r="N20" s="183">
        <v>0</v>
      </c>
      <c r="O20" s="183">
        <v>0</v>
      </c>
      <c r="P20" s="183">
        <f t="shared" si="6"/>
        <v>0</v>
      </c>
      <c r="Q20" s="182">
        <f t="shared" ca="1" si="7"/>
        <v>-2450.4337978308286</v>
      </c>
      <c r="R20" s="187">
        <f t="shared" ca="1" si="8"/>
        <v>-20323.399481643337</v>
      </c>
      <c r="S20" s="187"/>
      <c r="T20" s="190">
        <f t="shared" ca="1" si="9"/>
        <v>-20323.399481643337</v>
      </c>
      <c r="V20" s="189">
        <f t="shared" ca="1" si="10"/>
        <v>-17872.965683812508</v>
      </c>
      <c r="W20" s="159" t="str">
        <f t="shared" si="11"/>
        <v>P.003</v>
      </c>
    </row>
    <row r="21" spans="1:23" ht="25.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182">
        <v>0</v>
      </c>
      <c r="F21" s="183">
        <f t="shared" ca="1" si="1"/>
        <v>0</v>
      </c>
      <c r="G21" s="183">
        <f t="shared" ca="1" si="2"/>
        <v>0</v>
      </c>
      <c r="H21" s="184"/>
      <c r="I21" s="185">
        <f t="shared" ca="1" si="3"/>
        <v>52358.355810615001</v>
      </c>
      <c r="J21" s="703">
        <v>1369907.5933178212</v>
      </c>
      <c r="K21" s="186">
        <f t="shared" si="4"/>
        <v>1453806.1418385834</v>
      </c>
      <c r="L21" s="182">
        <f t="shared" si="5"/>
        <v>-83898.548520762241</v>
      </c>
      <c r="M21" s="182"/>
      <c r="N21" s="183">
        <v>0</v>
      </c>
      <c r="O21" s="183">
        <v>0</v>
      </c>
      <c r="P21" s="183">
        <f t="shared" si="6"/>
        <v>0</v>
      </c>
      <c r="Q21" s="182">
        <f t="shared" ca="1" si="7"/>
        <v>-4324.2490124087835</v>
      </c>
      <c r="R21" s="187">
        <f t="shared" ca="1" si="8"/>
        <v>-35864.441722556025</v>
      </c>
      <c r="S21" s="187"/>
      <c r="T21" s="190">
        <f t="shared" ca="1" si="9"/>
        <v>-35864.441722556025</v>
      </c>
      <c r="V21" s="189">
        <f t="shared" ca="1" si="10"/>
        <v>-31540.192710147239</v>
      </c>
      <c r="W21" s="159" t="str">
        <f t="shared" si="11"/>
        <v>P.004</v>
      </c>
    </row>
    <row r="22" spans="1:2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182">
        <v>0</v>
      </c>
      <c r="F22" s="183">
        <f t="shared" ca="1" si="1"/>
        <v>0</v>
      </c>
      <c r="G22" s="183">
        <f t="shared" ca="1" si="2"/>
        <v>0</v>
      </c>
      <c r="H22" s="184"/>
      <c r="I22" s="185">
        <f t="shared" ca="1" si="3"/>
        <v>1659.9161271064077</v>
      </c>
      <c r="J22" s="703">
        <v>34939.525615278893</v>
      </c>
      <c r="K22" s="186">
        <f t="shared" si="4"/>
        <v>37079.360082526648</v>
      </c>
      <c r="L22" s="182">
        <f t="shared" si="5"/>
        <v>-2139.8344672477542</v>
      </c>
      <c r="M22" s="182"/>
      <c r="N22" s="183">
        <v>0</v>
      </c>
      <c r="O22" s="183">
        <v>0</v>
      </c>
      <c r="P22" s="183">
        <f t="shared" si="6"/>
        <v>0</v>
      </c>
      <c r="Q22" s="182">
        <f t="shared" ca="1" si="7"/>
        <v>-65.798152454706184</v>
      </c>
      <c r="R22" s="187">
        <f t="shared" ca="1" si="8"/>
        <v>-545.71649259605272</v>
      </c>
      <c r="S22" s="187"/>
      <c r="T22" s="190">
        <f t="shared" ca="1" si="9"/>
        <v>-545.71649259605272</v>
      </c>
      <c r="V22" s="189">
        <f t="shared" ca="1" si="10"/>
        <v>-479.91834014134656</v>
      </c>
      <c r="W22" s="159" t="str">
        <f t="shared" si="11"/>
        <v>P.005</v>
      </c>
    </row>
    <row r="23" spans="1:2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182">
        <v>0</v>
      </c>
      <c r="F23" s="183">
        <f t="shared" ca="1" si="1"/>
        <v>0</v>
      </c>
      <c r="G23" s="183">
        <f t="shared" ca="1" si="2"/>
        <v>0</v>
      </c>
      <c r="H23" s="184"/>
      <c r="I23" s="185">
        <f t="shared" ca="1" si="3"/>
        <v>6482.8064692103071</v>
      </c>
      <c r="J23" s="703">
        <v>142800.25974648079</v>
      </c>
      <c r="K23" s="186">
        <f t="shared" si="4"/>
        <v>151545.91133608989</v>
      </c>
      <c r="L23" s="182">
        <f t="shared" si="5"/>
        <v>-8745.6515896091005</v>
      </c>
      <c r="M23" s="182"/>
      <c r="N23" s="183">
        <v>0</v>
      </c>
      <c r="O23" s="183">
        <v>0</v>
      </c>
      <c r="P23" s="183">
        <f t="shared" si="6"/>
        <v>0</v>
      </c>
      <c r="Q23" s="182">
        <f t="shared" ca="1" si="7"/>
        <v>-310.24242201191163</v>
      </c>
      <c r="R23" s="187">
        <f t="shared" ca="1" si="8"/>
        <v>-2573.0875424107048</v>
      </c>
      <c r="S23" s="187"/>
      <c r="T23" s="190">
        <f t="shared" ca="1" si="9"/>
        <v>-2573.0875424107048</v>
      </c>
      <c r="V23" s="189">
        <f t="shared" ca="1" si="10"/>
        <v>-2262.8451203987934</v>
      </c>
      <c r="W23" s="159" t="str">
        <f t="shared" si="11"/>
        <v>P.006</v>
      </c>
    </row>
    <row r="24" spans="1:2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182">
        <v>0</v>
      </c>
      <c r="F24" s="183">
        <f t="shared" ca="1" si="1"/>
        <v>0</v>
      </c>
      <c r="G24" s="183">
        <f t="shared" ca="1" si="2"/>
        <v>0</v>
      </c>
      <c r="H24" s="184"/>
      <c r="I24" s="185">
        <f t="shared" ca="1" si="3"/>
        <v>340.84427494481133</v>
      </c>
      <c r="J24" s="703">
        <v>7871.3681299434129</v>
      </c>
      <c r="K24" s="186">
        <f t="shared" si="4"/>
        <v>8353.4417852732622</v>
      </c>
      <c r="L24" s="182">
        <f t="shared" si="5"/>
        <v>-482.07365532984932</v>
      </c>
      <c r="M24" s="182"/>
      <c r="N24" s="183">
        <v>0</v>
      </c>
      <c r="O24" s="183">
        <v>0</v>
      </c>
      <c r="P24" s="183">
        <f t="shared" si="6"/>
        <v>0</v>
      </c>
      <c r="Q24" s="182">
        <f t="shared" ca="1" si="7"/>
        <v>-19.362944743727724</v>
      </c>
      <c r="R24" s="187">
        <f t="shared" ca="1" si="8"/>
        <v>-160.59232512876571</v>
      </c>
      <c r="S24" s="192" t="s">
        <v>224</v>
      </c>
      <c r="T24" s="190">
        <f t="shared" ca="1" si="9"/>
        <v>-160.59232512876571</v>
      </c>
      <c r="V24" s="189">
        <f t="shared" ca="1" si="10"/>
        <v>-141.22938038503798</v>
      </c>
      <c r="W24" s="159" t="str">
        <f t="shared" si="11"/>
        <v>P.007</v>
      </c>
    </row>
    <row r="25" spans="1:23" ht="25.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182">
        <v>0</v>
      </c>
      <c r="F25" s="183">
        <f t="shared" ca="1" si="1"/>
        <v>0</v>
      </c>
      <c r="G25" s="183">
        <f t="shared" ca="1" si="2"/>
        <v>0</v>
      </c>
      <c r="H25" s="184"/>
      <c r="I25" s="185">
        <f t="shared" ca="1" si="3"/>
        <v>298.76022515581008</v>
      </c>
      <c r="J25" s="703">
        <v>5122.4098353883373</v>
      </c>
      <c r="K25" s="186">
        <f t="shared" si="4"/>
        <v>5436.126433656621</v>
      </c>
      <c r="L25" s="182">
        <f t="shared" si="5"/>
        <v>-313.71659826828363</v>
      </c>
      <c r="M25" s="182"/>
      <c r="N25" s="183">
        <v>0</v>
      </c>
      <c r="O25" s="183">
        <v>0</v>
      </c>
      <c r="P25" s="183">
        <f t="shared" si="6"/>
        <v>0</v>
      </c>
      <c r="Q25" s="182">
        <f t="shared" ca="1" si="7"/>
        <v>-2.0505607640128187</v>
      </c>
      <c r="R25" s="187">
        <f t="shared" ca="1" si="8"/>
        <v>-17.006933876486375</v>
      </c>
      <c r="S25" s="192" t="s">
        <v>224</v>
      </c>
      <c r="T25" s="190">
        <f t="shared" ca="1" si="9"/>
        <v>-17.006933876486375</v>
      </c>
      <c r="V25" s="189">
        <f ca="1">+I25+L25+P25</f>
        <v>-14.956373112473557</v>
      </c>
      <c r="W25" s="159" t="str">
        <f t="shared" si="11"/>
        <v>P.008</v>
      </c>
    </row>
    <row r="26" spans="1:2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182">
        <v>0</v>
      </c>
      <c r="F26" s="183">
        <f t="shared" ca="1" si="1"/>
        <v>0</v>
      </c>
      <c r="G26" s="183">
        <f t="shared" ca="1" si="2"/>
        <v>0</v>
      </c>
      <c r="H26" s="184"/>
      <c r="I26" s="185">
        <f t="shared" ca="1" si="3"/>
        <v>385.28543261835603</v>
      </c>
      <c r="J26" s="703">
        <v>6766.2809754238278</v>
      </c>
      <c r="K26" s="186">
        <f t="shared" si="4"/>
        <v>7180.6747312441184</v>
      </c>
      <c r="L26" s="182">
        <f t="shared" si="5"/>
        <v>-414.39375582029061</v>
      </c>
      <c r="M26" s="182"/>
      <c r="N26" s="183">
        <v>0</v>
      </c>
      <c r="O26" s="183">
        <v>0</v>
      </c>
      <c r="P26" s="183">
        <f t="shared" si="6"/>
        <v>0</v>
      </c>
      <c r="Q26" s="182">
        <f t="shared" ca="1" si="7"/>
        <v>-3.9908328720624895</v>
      </c>
      <c r="R26" s="187">
        <f t="shared" ca="1" si="8"/>
        <v>-33.099156073997072</v>
      </c>
      <c r="S26" s="192" t="s">
        <v>224</v>
      </c>
      <c r="T26" s="190">
        <f t="shared" ca="1" si="9"/>
        <v>-33.099156073997072</v>
      </c>
      <c r="V26" s="189">
        <f t="shared" ca="1" si="10"/>
        <v>-29.108323201934581</v>
      </c>
      <c r="W26" s="159" t="str">
        <f t="shared" ref="W26:W31" si="12">A26</f>
        <v>P.009</v>
      </c>
    </row>
    <row r="27" spans="1:2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182">
        <v>0</v>
      </c>
      <c r="F27" s="183">
        <f t="shared" ca="1" si="1"/>
        <v>0</v>
      </c>
      <c r="G27" s="183">
        <f t="shared" ca="1" si="2"/>
        <v>0</v>
      </c>
      <c r="H27" s="184"/>
      <c r="I27" s="185">
        <f t="shared" ca="1" si="3"/>
        <v>456.52009570854716</v>
      </c>
      <c r="J27" s="703">
        <v>9484.8685550534865</v>
      </c>
      <c r="K27" s="186">
        <f t="shared" si="4"/>
        <v>10065.759345469442</v>
      </c>
      <c r="L27" s="182">
        <f t="shared" si="5"/>
        <v>-580.89079041595505</v>
      </c>
      <c r="M27" s="182"/>
      <c r="N27" s="183">
        <v>0</v>
      </c>
      <c r="O27" s="183">
        <v>0</v>
      </c>
      <c r="P27" s="183">
        <f t="shared" ref="P27:P33" si="13">+N27-O27</f>
        <v>0</v>
      </c>
      <c r="Q27" s="182">
        <f t="shared" ca="1" si="7"/>
        <v>-17.051571583710601</v>
      </c>
      <c r="R27" s="187">
        <f t="shared" ca="1" si="8"/>
        <v>-141.42226629111849</v>
      </c>
      <c r="S27" s="187"/>
      <c r="T27" s="190">
        <f t="shared" ca="1" si="9"/>
        <v>-141.42226629111849</v>
      </c>
      <c r="V27" s="189">
        <f t="shared" ca="1" si="10"/>
        <v>-124.37069470740789</v>
      </c>
      <c r="W27" s="159" t="str">
        <f t="shared" si="12"/>
        <v>P.010</v>
      </c>
    </row>
    <row r="28" spans="1:2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182">
        <v>0</v>
      </c>
      <c r="F28" s="183">
        <f t="shared" ca="1" si="1"/>
        <v>0</v>
      </c>
      <c r="G28" s="183">
        <f t="shared" ref="G28:G33" ca="1" si="14">+E28+F28</f>
        <v>0</v>
      </c>
      <c r="H28" s="184"/>
      <c r="I28" s="185">
        <f t="shared" ca="1" si="3"/>
        <v>18387.246648857108</v>
      </c>
      <c r="J28" s="703">
        <v>140400.76847352801</v>
      </c>
      <c r="K28" s="186">
        <f t="shared" si="4"/>
        <v>148999.46574594741</v>
      </c>
      <c r="L28" s="182">
        <f t="shared" ref="L28:L33" si="15">+J28-K28</f>
        <v>-8598.6972724194056</v>
      </c>
      <c r="M28" s="182"/>
      <c r="N28" s="183">
        <v>0</v>
      </c>
      <c r="O28" s="183">
        <v>0</v>
      </c>
      <c r="P28" s="183">
        <f t="shared" si="13"/>
        <v>0</v>
      </c>
      <c r="Q28" s="182">
        <f t="shared" ca="1" si="7"/>
        <v>1342.0376141315512</v>
      </c>
      <c r="R28" s="187">
        <f t="shared" ref="R28:R33" ca="1" si="16">I28+L28+P28+Q28</f>
        <v>11130.586990569254</v>
      </c>
      <c r="S28" s="187"/>
      <c r="T28" s="190">
        <f t="shared" ref="T28:T33" ca="1" si="17">+G28+R28</f>
        <v>11130.586990569254</v>
      </c>
      <c r="V28" s="189">
        <f t="shared" ref="V28:V33" ca="1" si="18">+I28+L28+P28</f>
        <v>9788.5493764377024</v>
      </c>
      <c r="W28" s="159" t="str">
        <f t="shared" si="12"/>
        <v>P.011</v>
      </c>
    </row>
    <row r="29" spans="1:23" ht="25.5">
      <c r="A29" s="158" t="s">
        <v>235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182">
        <v>0</v>
      </c>
      <c r="F29" s="183">
        <f t="shared" ca="1" si="1"/>
        <v>0</v>
      </c>
      <c r="G29" s="183">
        <f t="shared" ca="1" si="14"/>
        <v>0</v>
      </c>
      <c r="H29" s="184"/>
      <c r="I29" s="185">
        <f t="shared" ca="1" si="3"/>
        <v>12991.438589034951</v>
      </c>
      <c r="J29" s="703">
        <v>342593.61746317265</v>
      </c>
      <c r="K29" s="186">
        <f t="shared" si="4"/>
        <v>363575.40293384343</v>
      </c>
      <c r="L29" s="182">
        <f t="shared" si="15"/>
        <v>-20981.785470670788</v>
      </c>
      <c r="M29" s="182"/>
      <c r="N29" s="183">
        <v>0</v>
      </c>
      <c r="O29" s="183">
        <v>0</v>
      </c>
      <c r="P29" s="183">
        <f t="shared" si="13"/>
        <v>0</v>
      </c>
      <c r="Q29" s="182">
        <f t="shared" ca="1" si="7"/>
        <v>-1095.4990012030294</v>
      </c>
      <c r="R29" s="187">
        <f t="shared" ca="1" si="16"/>
        <v>-9085.8458828388648</v>
      </c>
      <c r="S29" s="187"/>
      <c r="T29" s="190">
        <f t="shared" ca="1" si="17"/>
        <v>-9085.8458828388648</v>
      </c>
      <c r="V29" s="189">
        <f t="shared" ca="1" si="18"/>
        <v>-7990.3468816358363</v>
      </c>
      <c r="W29" s="159" t="str">
        <f t="shared" si="12"/>
        <v>P.012</v>
      </c>
    </row>
    <row r="30" spans="1:23" ht="15.75" customHeight="1">
      <c r="A30" s="158" t="s">
        <v>237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182">
        <v>0</v>
      </c>
      <c r="F30" s="183">
        <f t="shared" ca="1" si="1"/>
        <v>0</v>
      </c>
      <c r="G30" s="183">
        <f t="shared" ca="1" si="14"/>
        <v>0</v>
      </c>
      <c r="H30" s="184"/>
      <c r="I30" s="185">
        <f t="shared" ca="1" si="3"/>
        <v>96.548426734149416</v>
      </c>
      <c r="J30" s="703">
        <v>2261.279832256429</v>
      </c>
      <c r="K30" s="186">
        <f t="shared" si="4"/>
        <v>2399.7695352488063</v>
      </c>
      <c r="L30" s="182">
        <f t="shared" si="15"/>
        <v>-138.48970299237726</v>
      </c>
      <c r="M30" s="182"/>
      <c r="N30" s="183">
        <v>0</v>
      </c>
      <c r="O30" s="183">
        <v>0</v>
      </c>
      <c r="P30" s="183">
        <f t="shared" si="13"/>
        <v>0</v>
      </c>
      <c r="Q30" s="182">
        <f t="shared" ca="1" si="7"/>
        <v>-5.7502667819926279</v>
      </c>
      <c r="R30" s="187">
        <f t="shared" ca="1" si="16"/>
        <v>-47.691543040220473</v>
      </c>
      <c r="S30" s="187"/>
      <c r="T30" s="190">
        <f t="shared" ca="1" si="17"/>
        <v>-47.691543040220473</v>
      </c>
      <c r="V30" s="189">
        <f t="shared" ca="1" si="18"/>
        <v>-41.941276258227845</v>
      </c>
      <c r="W30" s="159" t="str">
        <f t="shared" si="12"/>
        <v>P.013</v>
      </c>
    </row>
    <row r="31" spans="1:23" ht="15.75" customHeight="1">
      <c r="A31" s="194" t="s">
        <v>240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182">
        <v>0</v>
      </c>
      <c r="F31" s="183">
        <f t="shared" ca="1" si="1"/>
        <v>0</v>
      </c>
      <c r="G31" s="183">
        <f t="shared" ca="1" si="14"/>
        <v>0</v>
      </c>
      <c r="H31" s="184"/>
      <c r="I31" s="185">
        <f t="shared" ca="1" si="3"/>
        <v>13013.502787736157</v>
      </c>
      <c r="J31" s="703">
        <v>107567.37709689827</v>
      </c>
      <c r="K31" s="186">
        <f t="shared" si="4"/>
        <v>114155.22787649572</v>
      </c>
      <c r="L31" s="182">
        <f t="shared" si="15"/>
        <v>-6587.8507795974438</v>
      </c>
      <c r="M31" s="182"/>
      <c r="N31" s="183">
        <v>0</v>
      </c>
      <c r="O31" s="183">
        <v>0</v>
      </c>
      <c r="P31" s="183">
        <f t="shared" si="13"/>
        <v>0</v>
      </c>
      <c r="Q31" s="182">
        <f t="shared" ca="1" si="7"/>
        <v>880.97493904458247</v>
      </c>
      <c r="R31" s="187">
        <f t="shared" ca="1" si="16"/>
        <v>7306.6269471832957</v>
      </c>
      <c r="S31" s="187"/>
      <c r="T31" s="190">
        <f t="shared" ca="1" si="17"/>
        <v>7306.6269471832957</v>
      </c>
      <c r="V31" s="189">
        <f t="shared" ca="1" si="18"/>
        <v>6425.6520081387134</v>
      </c>
      <c r="W31" s="159" t="str">
        <f t="shared" si="12"/>
        <v>P.014</v>
      </c>
    </row>
    <row r="32" spans="1:23" ht="25.5" customHeight="1">
      <c r="A32" s="194" t="s">
        <v>253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182">
        <v>0</v>
      </c>
      <c r="F32" s="183">
        <f t="shared" ca="1" si="1"/>
        <v>0</v>
      </c>
      <c r="G32" s="183">
        <f t="shared" ca="1" si="14"/>
        <v>0</v>
      </c>
      <c r="H32" s="184"/>
      <c r="I32" s="185">
        <f t="shared" ca="1" si="3"/>
        <v>10341.269419176271</v>
      </c>
      <c r="J32" s="703">
        <v>237579.31565869306</v>
      </c>
      <c r="K32" s="186">
        <f t="shared" si="4"/>
        <v>252129.61075855821</v>
      </c>
      <c r="L32" s="182">
        <f t="shared" si="15"/>
        <v>-14550.29509986515</v>
      </c>
      <c r="M32" s="182"/>
      <c r="N32" s="183">
        <v>0</v>
      </c>
      <c r="O32" s="183">
        <v>0</v>
      </c>
      <c r="P32" s="183">
        <f t="shared" si="13"/>
        <v>0</v>
      </c>
      <c r="Q32" s="182">
        <f t="shared" ca="1" si="7"/>
        <v>-577.06924336788961</v>
      </c>
      <c r="R32" s="187">
        <f t="shared" ca="1" si="16"/>
        <v>-4786.0949240567688</v>
      </c>
      <c r="S32" s="187"/>
      <c r="T32" s="190">
        <f t="shared" ca="1" si="17"/>
        <v>-4786.0949240567688</v>
      </c>
      <c r="V32" s="189">
        <f t="shared" ca="1" si="18"/>
        <v>-4209.0256806888792</v>
      </c>
      <c r="W32" s="159" t="str">
        <f t="shared" ref="W32:W39" si="19">A32</f>
        <v>P.015</v>
      </c>
    </row>
    <row r="33" spans="1:23" ht="15.75" customHeight="1">
      <c r="A33" s="194" t="s">
        <v>254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182">
        <v>0</v>
      </c>
      <c r="F33" s="183">
        <f t="shared" ca="1" si="1"/>
        <v>0</v>
      </c>
      <c r="G33" s="183">
        <f t="shared" ca="1" si="14"/>
        <v>0</v>
      </c>
      <c r="H33" s="184"/>
      <c r="I33" s="185">
        <f t="shared" ca="1" si="3"/>
        <v>23790.459383283742</v>
      </c>
      <c r="J33" s="703">
        <v>543635.0617584798</v>
      </c>
      <c r="K33" s="186">
        <f t="shared" si="4"/>
        <v>576929.41885892244</v>
      </c>
      <c r="L33" s="182">
        <f t="shared" si="15"/>
        <v>-33294.357100442634</v>
      </c>
      <c r="M33" s="182"/>
      <c r="N33" s="183">
        <v>0</v>
      </c>
      <c r="O33" s="183">
        <v>0</v>
      </c>
      <c r="P33" s="183">
        <f t="shared" si="13"/>
        <v>0</v>
      </c>
      <c r="Q33" s="182">
        <f t="shared" ca="1" si="7"/>
        <v>-1303.0110720990131</v>
      </c>
      <c r="R33" s="187">
        <f t="shared" ca="1" si="16"/>
        <v>-10806.908789257905</v>
      </c>
      <c r="S33" s="187"/>
      <c r="T33" s="190">
        <f t="shared" ca="1" si="17"/>
        <v>-10806.908789257905</v>
      </c>
      <c r="V33" s="189">
        <f t="shared" ca="1" si="18"/>
        <v>-9503.8977171588922</v>
      </c>
      <c r="W33" s="159" t="str">
        <f t="shared" si="19"/>
        <v>P.016</v>
      </c>
    </row>
    <row r="34" spans="1:23">
      <c r="A34" s="194" t="s">
        <v>264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182">
        <v>0</v>
      </c>
      <c r="F34" s="183">
        <f t="shared" ca="1" si="1"/>
        <v>0</v>
      </c>
      <c r="G34" s="183">
        <f t="shared" ref="G34:G39" ca="1" si="20">+E34+F34</f>
        <v>0</v>
      </c>
      <c r="H34" s="184"/>
      <c r="I34" s="185">
        <f t="shared" ca="1" si="3"/>
        <v>8045.0765038403333</v>
      </c>
      <c r="J34" s="703">
        <v>185227.05965973201</v>
      </c>
      <c r="K34" s="186">
        <f t="shared" si="4"/>
        <v>196571.09594949568</v>
      </c>
      <c r="L34" s="182">
        <f t="shared" ref="L34:L39" si="21">+J34-K34</f>
        <v>-11344.036289763666</v>
      </c>
      <c r="M34" s="182"/>
      <c r="N34" s="183">
        <v>0</v>
      </c>
      <c r="O34" s="183">
        <v>0</v>
      </c>
      <c r="P34" s="183">
        <f t="shared" ref="P34:P39" si="22">+N34-O34</f>
        <v>0</v>
      </c>
      <c r="Q34" s="182">
        <f t="shared" ca="1" si="7"/>
        <v>-452.29665295182872</v>
      </c>
      <c r="R34" s="187">
        <f t="shared" ref="R34:R39" ca="1" si="23">I34+L34+P34+Q34</f>
        <v>-3751.2564388751616</v>
      </c>
      <c r="S34" s="187"/>
      <c r="T34" s="190">
        <f t="shared" ref="T34:T39" ca="1" si="24">+G34+R34</f>
        <v>-3751.2564388751616</v>
      </c>
      <c r="U34" s="195"/>
      <c r="V34" s="189">
        <f t="shared" ref="V34:V39" ca="1" si="25">+I34+L34+P34</f>
        <v>-3298.9597859233327</v>
      </c>
      <c r="W34" s="159" t="str">
        <f t="shared" si="19"/>
        <v>P.017</v>
      </c>
    </row>
    <row r="35" spans="1:23">
      <c r="A35" s="194" t="s">
        <v>265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182">
        <v>0</v>
      </c>
      <c r="F35" s="196">
        <f t="shared" ca="1" si="1"/>
        <v>0</v>
      </c>
      <c r="G35" s="196">
        <f t="shared" ca="1" si="20"/>
        <v>0</v>
      </c>
      <c r="H35" s="197"/>
      <c r="I35" s="185">
        <f t="shared" ca="1" si="3"/>
        <v>10376.105477074801</v>
      </c>
      <c r="J35" s="703">
        <v>185520.33924053717</v>
      </c>
      <c r="K35" s="198">
        <f t="shared" si="4"/>
        <v>196882.33712950678</v>
      </c>
      <c r="L35" s="199">
        <f t="shared" si="21"/>
        <v>-11361.997888969607</v>
      </c>
      <c r="M35" s="199"/>
      <c r="N35" s="196">
        <v>0</v>
      </c>
      <c r="O35" s="196">
        <v>0</v>
      </c>
      <c r="P35" s="196">
        <f t="shared" si="22"/>
        <v>0</v>
      </c>
      <c r="Q35" s="199">
        <f t="shared" ca="1" si="7"/>
        <v>-135.16861890022113</v>
      </c>
      <c r="R35" s="200">
        <f t="shared" ca="1" si="23"/>
        <v>-1121.0610307950265</v>
      </c>
      <c r="S35" s="200"/>
      <c r="T35" s="201">
        <f t="shared" ca="1" si="24"/>
        <v>-1121.0610307950265</v>
      </c>
      <c r="U35" s="195"/>
      <c r="V35" s="189">
        <f t="shared" ca="1" si="25"/>
        <v>-985.89241189480526</v>
      </c>
      <c r="W35" s="159" t="str">
        <f t="shared" si="19"/>
        <v>P.018</v>
      </c>
    </row>
    <row r="36" spans="1:23">
      <c r="A36" s="194" t="s">
        <v>272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182">
        <v>0</v>
      </c>
      <c r="F36" s="196">
        <f t="shared" ca="1" si="1"/>
        <v>0</v>
      </c>
      <c r="G36" s="196">
        <f t="shared" ca="1" si="20"/>
        <v>0</v>
      </c>
      <c r="H36" s="197"/>
      <c r="I36" s="185">
        <f t="shared" ca="1" si="3"/>
        <v>4955.5777265918441</v>
      </c>
      <c r="J36" s="703">
        <v>152212.96081333884</v>
      </c>
      <c r="K36" s="198">
        <f t="shared" si="4"/>
        <v>161535.08337151643</v>
      </c>
      <c r="L36" s="199">
        <f t="shared" si="21"/>
        <v>-9322.1225581775943</v>
      </c>
      <c r="M36" s="199"/>
      <c r="N36" s="196">
        <v>0</v>
      </c>
      <c r="O36" s="196">
        <v>0</v>
      </c>
      <c r="P36" s="196">
        <f t="shared" si="22"/>
        <v>0</v>
      </c>
      <c r="Q36" s="199">
        <f t="shared" ca="1" si="7"/>
        <v>-598.66556140440309</v>
      </c>
      <c r="R36" s="200">
        <f t="shared" ca="1" si="23"/>
        <v>-4965.2103929901532</v>
      </c>
      <c r="S36" s="200"/>
      <c r="T36" s="201">
        <f t="shared" ca="1" si="24"/>
        <v>-4965.2103929901532</v>
      </c>
      <c r="U36" s="195"/>
      <c r="V36" s="189">
        <f t="shared" ca="1" si="25"/>
        <v>-4366.5448315857502</v>
      </c>
      <c r="W36" s="159" t="str">
        <f t="shared" si="19"/>
        <v>P.019</v>
      </c>
    </row>
    <row r="37" spans="1:23">
      <c r="A37" s="194" t="s">
        <v>273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182">
        <v>0</v>
      </c>
      <c r="F37" s="183">
        <f t="shared" ca="1" si="1"/>
        <v>0</v>
      </c>
      <c r="G37" s="183">
        <f t="shared" ca="1" si="20"/>
        <v>0</v>
      </c>
      <c r="H37" s="184"/>
      <c r="I37" s="185">
        <f t="shared" ca="1" si="3"/>
        <v>6478.9351847236685</v>
      </c>
      <c r="J37" s="703">
        <v>230330.53482059605</v>
      </c>
      <c r="K37" s="198">
        <f t="shared" si="4"/>
        <v>244436.88596845453</v>
      </c>
      <c r="L37" s="199">
        <f t="shared" si="21"/>
        <v>-14106.351147858484</v>
      </c>
      <c r="M37" s="199"/>
      <c r="N37" s="196">
        <v>0</v>
      </c>
      <c r="O37" s="196">
        <v>0</v>
      </c>
      <c r="P37" s="196">
        <f t="shared" si="22"/>
        <v>0</v>
      </c>
      <c r="Q37" s="199">
        <f t="shared" ca="1" si="7"/>
        <v>-1045.7401528559888</v>
      </c>
      <c r="R37" s="200">
        <f t="shared" ca="1" si="23"/>
        <v>-8673.1561159908051</v>
      </c>
      <c r="S37" s="200"/>
      <c r="T37" s="201">
        <f t="shared" ca="1" si="24"/>
        <v>-8673.1561159908051</v>
      </c>
      <c r="U37" s="195"/>
      <c r="V37" s="189">
        <f t="shared" ca="1" si="25"/>
        <v>-7627.4159631348157</v>
      </c>
      <c r="W37" s="159" t="str">
        <f t="shared" si="19"/>
        <v>P.020</v>
      </c>
    </row>
    <row r="38" spans="1:23">
      <c r="A38" s="194" t="s">
        <v>274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182">
        <v>0</v>
      </c>
      <c r="F38" s="183">
        <f t="shared" ca="1" si="1"/>
        <v>0</v>
      </c>
      <c r="G38" s="183">
        <f t="shared" ca="1" si="20"/>
        <v>0</v>
      </c>
      <c r="H38" s="184"/>
      <c r="I38" s="185">
        <f t="shared" ca="1" si="3"/>
        <v>797.62434382060019</v>
      </c>
      <c r="J38" s="703">
        <v>36177.366045816962</v>
      </c>
      <c r="K38" s="198">
        <f t="shared" si="4"/>
        <v>38393.010747221415</v>
      </c>
      <c r="L38" s="199">
        <f t="shared" si="21"/>
        <v>-2215.6447014044534</v>
      </c>
      <c r="M38" s="199"/>
      <c r="N38" s="196">
        <v>0</v>
      </c>
      <c r="O38" s="196">
        <v>0</v>
      </c>
      <c r="P38" s="196">
        <f t="shared" si="22"/>
        <v>0</v>
      </c>
      <c r="Q38" s="199">
        <f t="shared" ca="1" si="7"/>
        <v>-194.4145740391991</v>
      </c>
      <c r="R38" s="200">
        <f t="shared" ca="1" si="23"/>
        <v>-1612.4349316230523</v>
      </c>
      <c r="S38" s="200"/>
      <c r="T38" s="201">
        <f t="shared" ca="1" si="24"/>
        <v>-1612.4349316230523</v>
      </c>
      <c r="U38" s="195"/>
      <c r="V38" s="189">
        <f t="shared" ca="1" si="25"/>
        <v>-1418.0203575838532</v>
      </c>
      <c r="W38" s="159" t="str">
        <f t="shared" si="19"/>
        <v>P.021</v>
      </c>
    </row>
    <row r="39" spans="1:23">
      <c r="A39" s="194" t="s">
        <v>275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182">
        <v>0</v>
      </c>
      <c r="F39" s="183">
        <f t="shared" ca="1" si="1"/>
        <v>0</v>
      </c>
      <c r="G39" s="183">
        <f t="shared" ca="1" si="20"/>
        <v>0</v>
      </c>
      <c r="H39" s="184"/>
      <c r="I39" s="185">
        <f t="shared" ca="1" si="3"/>
        <v>932.49068783139592</v>
      </c>
      <c r="J39" s="703">
        <v>28234.193670516433</v>
      </c>
      <c r="K39" s="198">
        <f t="shared" si="4"/>
        <v>29963.367141168812</v>
      </c>
      <c r="L39" s="199">
        <f t="shared" si="21"/>
        <v>-1729.1734706523785</v>
      </c>
      <c r="M39" s="199"/>
      <c r="N39" s="196">
        <v>0</v>
      </c>
      <c r="O39" s="196">
        <v>0</v>
      </c>
      <c r="P39" s="196">
        <f t="shared" si="22"/>
        <v>0</v>
      </c>
      <c r="Q39" s="199">
        <f t="shared" ca="1" si="7"/>
        <v>-109.22744729166978</v>
      </c>
      <c r="R39" s="200">
        <f t="shared" ca="1" si="23"/>
        <v>-905.91023011265236</v>
      </c>
      <c r="S39" s="200"/>
      <c r="T39" s="201">
        <f t="shared" ca="1" si="24"/>
        <v>-905.91023011265236</v>
      </c>
      <c r="U39" s="195"/>
      <c r="V39" s="189">
        <f t="shared" ca="1" si="25"/>
        <v>-796.68278282098254</v>
      </c>
      <c r="W39" s="159" t="str">
        <f t="shared" si="19"/>
        <v>P.022</v>
      </c>
    </row>
    <row r="40" spans="1:23">
      <c r="A40" s="194" t="s">
        <v>307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182">
        <v>0</v>
      </c>
      <c r="F40" s="183">
        <f t="shared" ca="1" si="1"/>
        <v>0</v>
      </c>
      <c r="G40" s="183">
        <f t="shared" ref="G40:G45" ca="1" si="26">+E40+F40</f>
        <v>0</v>
      </c>
      <c r="H40" s="184"/>
      <c r="I40" s="185">
        <f t="shared" ca="1" si="3"/>
        <v>6840.7575462456443</v>
      </c>
      <c r="J40" s="703">
        <v>130364.57730390571</v>
      </c>
      <c r="K40" s="198">
        <f t="shared" si="4"/>
        <v>138348.61861272916</v>
      </c>
      <c r="L40" s="199">
        <f t="shared" ref="L40:L45" si="27">+J40-K40</f>
        <v>-7984.0413088234491</v>
      </c>
      <c r="M40" s="199"/>
      <c r="N40" s="196">
        <v>0</v>
      </c>
      <c r="O40" s="196">
        <v>0</v>
      </c>
      <c r="P40" s="196">
        <f t="shared" ref="P40:P45" si="28">+N40-O40</f>
        <v>0</v>
      </c>
      <c r="Q40" s="199">
        <f t="shared" ca="1" si="7"/>
        <v>-156.74741516844051</v>
      </c>
      <c r="R40" s="200">
        <f t="shared" ref="R40:R45" ca="1" si="29">I40+L40+P40+Q40</f>
        <v>-1300.0311777462452</v>
      </c>
      <c r="S40" s="200"/>
      <c r="T40" s="201">
        <f t="shared" ref="T40:T45" ca="1" si="30">+G40+R40</f>
        <v>-1300.0311777462452</v>
      </c>
      <c r="U40" s="195"/>
      <c r="V40" s="189">
        <f t="shared" ref="V40:V46" ca="1" si="31">+I40+L40+P40</f>
        <v>-1143.2837625778047</v>
      </c>
      <c r="W40" s="159" t="str">
        <f t="shared" ref="W40:W46" si="32">A40</f>
        <v>P.023</v>
      </c>
    </row>
    <row r="41" spans="1:23">
      <c r="A41" s="194" t="s">
        <v>308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182">
        <v>0</v>
      </c>
      <c r="F41" s="183">
        <f t="shared" ca="1" si="1"/>
        <v>0</v>
      </c>
      <c r="G41" s="183">
        <f t="shared" ca="1" si="26"/>
        <v>0</v>
      </c>
      <c r="H41" s="184"/>
      <c r="I41" s="185">
        <f t="shared" ca="1" si="3"/>
        <v>4677.3144783580501</v>
      </c>
      <c r="J41" s="703">
        <v>171683.56768891358</v>
      </c>
      <c r="K41" s="198">
        <f t="shared" si="4"/>
        <v>182198.14706946901</v>
      </c>
      <c r="L41" s="199">
        <f t="shared" si="27"/>
        <v>-10514.579380555428</v>
      </c>
      <c r="M41" s="199"/>
      <c r="N41" s="196">
        <v>0</v>
      </c>
      <c r="O41" s="196">
        <v>0</v>
      </c>
      <c r="P41" s="196">
        <f t="shared" si="28"/>
        <v>0</v>
      </c>
      <c r="Q41" s="199">
        <f t="shared" ca="1" si="7"/>
        <v>-800.30541412559523</v>
      </c>
      <c r="R41" s="200">
        <f t="shared" ca="1" si="29"/>
        <v>-6637.5703163229728</v>
      </c>
      <c r="S41" s="200"/>
      <c r="T41" s="201">
        <f t="shared" ca="1" si="30"/>
        <v>-6637.5703163229728</v>
      </c>
      <c r="U41" s="195"/>
      <c r="V41" s="189">
        <f t="shared" ca="1" si="31"/>
        <v>-5837.2649021973775</v>
      </c>
      <c r="W41" s="159" t="str">
        <f t="shared" si="32"/>
        <v>P.024</v>
      </c>
    </row>
    <row r="42" spans="1:23">
      <c r="A42" s="194" t="s">
        <v>313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182">
        <v>0</v>
      </c>
      <c r="F42" s="183">
        <f t="shared" ca="1" si="1"/>
        <v>0</v>
      </c>
      <c r="G42" s="183">
        <f t="shared" ca="1" si="26"/>
        <v>0</v>
      </c>
      <c r="H42" s="197"/>
      <c r="I42" s="185">
        <f t="shared" ca="1" si="3"/>
        <v>2498.2505743489746</v>
      </c>
      <c r="J42" s="703">
        <v>24319.959248578354</v>
      </c>
      <c r="K42" s="198">
        <f t="shared" si="4"/>
        <v>25809.409552374455</v>
      </c>
      <c r="L42" s="199">
        <f t="shared" si="27"/>
        <v>-1489.4503037961003</v>
      </c>
      <c r="M42" s="199"/>
      <c r="N42" s="196">
        <v>0</v>
      </c>
      <c r="O42" s="196">
        <v>0</v>
      </c>
      <c r="P42" s="196">
        <f t="shared" si="28"/>
        <v>0</v>
      </c>
      <c r="Q42" s="199">
        <f t="shared" ca="1" si="7"/>
        <v>138.30935066710998</v>
      </c>
      <c r="R42" s="200">
        <f t="shared" ca="1" si="29"/>
        <v>1147.1096212199843</v>
      </c>
      <c r="S42" s="200"/>
      <c r="T42" s="201">
        <f t="shared" ca="1" si="30"/>
        <v>1147.1096212199843</v>
      </c>
      <c r="U42" s="195"/>
      <c r="V42" s="189">
        <f t="shared" ca="1" si="31"/>
        <v>1008.8002705528743</v>
      </c>
      <c r="W42" s="159" t="str">
        <f t="shared" si="32"/>
        <v>P.025</v>
      </c>
    </row>
    <row r="43" spans="1:23">
      <c r="A43" s="194" t="s">
        <v>327</v>
      </c>
      <c r="B43" s="156" t="s">
        <v>117</v>
      </c>
      <c r="C43" s="615" t="str">
        <f t="shared" ca="1" si="0"/>
        <v>Tulsa Southeast - E. 61st St 138 kV Rebuild</v>
      </c>
      <c r="D43" s="181">
        <f t="shared" ca="1" si="0"/>
        <v>2019</v>
      </c>
      <c r="E43" s="182">
        <v>0</v>
      </c>
      <c r="F43" s="183">
        <f t="shared" ca="1" si="1"/>
        <v>0</v>
      </c>
      <c r="G43" s="183">
        <f t="shared" ca="1" si="26"/>
        <v>0</v>
      </c>
      <c r="H43" s="197"/>
      <c r="I43" s="185">
        <f t="shared" ca="1" si="3"/>
        <v>32330.941923563718</v>
      </c>
      <c r="J43" s="703">
        <v>1097699.2557096137</v>
      </c>
      <c r="K43" s="198">
        <f t="shared" si="4"/>
        <v>1164926.6911334214</v>
      </c>
      <c r="L43" s="199">
        <f t="shared" si="27"/>
        <v>-67227.435423807707</v>
      </c>
      <c r="M43" s="199"/>
      <c r="N43" s="196">
        <v>0</v>
      </c>
      <c r="O43" s="196">
        <v>0</v>
      </c>
      <c r="P43" s="196">
        <f t="shared" si="28"/>
        <v>0</v>
      </c>
      <c r="Q43" s="199">
        <f t="shared" ca="1" si="7"/>
        <v>-4784.4072780953893</v>
      </c>
      <c r="R43" s="200">
        <f t="shared" ca="1" si="29"/>
        <v>-39680.900778339375</v>
      </c>
      <c r="S43" s="200"/>
      <c r="T43" s="201">
        <f t="shared" ca="1" si="30"/>
        <v>-39680.900778339375</v>
      </c>
      <c r="U43" s="195"/>
      <c r="V43" s="189">
        <f t="shared" ca="1" si="31"/>
        <v>-34896.493500243989</v>
      </c>
      <c r="W43" s="159" t="str">
        <f t="shared" si="32"/>
        <v>P.026</v>
      </c>
    </row>
    <row r="44" spans="1:23">
      <c r="A44" s="194" t="s">
        <v>328</v>
      </c>
      <c r="B44" s="156" t="s">
        <v>117</v>
      </c>
      <c r="C44" s="616" t="str">
        <f t="shared" ca="1" si="0"/>
        <v>Broken Arrow North-Lynn Lane East 138 kV</v>
      </c>
      <c r="D44" s="181">
        <f t="shared" ca="1" si="0"/>
        <v>2019</v>
      </c>
      <c r="E44" s="182">
        <v>0</v>
      </c>
      <c r="F44" s="183">
        <f t="shared" ca="1" si="1"/>
        <v>0</v>
      </c>
      <c r="G44" s="183">
        <f t="shared" ca="1" si="26"/>
        <v>0</v>
      </c>
      <c r="H44" s="197"/>
      <c r="I44" s="185">
        <f t="shared" ca="1" si="3"/>
        <v>7411.5225977693917</v>
      </c>
      <c r="J44" s="703">
        <v>705182.65035670938</v>
      </c>
      <c r="K44" s="198">
        <f t="shared" si="4"/>
        <v>748370.81946792768</v>
      </c>
      <c r="L44" s="199">
        <f t="shared" si="27"/>
        <v>-43188.169111218303</v>
      </c>
      <c r="M44" s="199"/>
      <c r="N44" s="196">
        <v>0</v>
      </c>
      <c r="O44" s="196">
        <v>0</v>
      </c>
      <c r="P44" s="196">
        <f t="shared" si="28"/>
        <v>0</v>
      </c>
      <c r="Q44" s="199">
        <f ca="1">+V44/$V$50 * $Q$50</f>
        <v>-4905.0787284285234</v>
      </c>
      <c r="R44" s="200">
        <f t="shared" ca="1" si="29"/>
        <v>-40681.725241877437</v>
      </c>
      <c r="S44" s="200"/>
      <c r="T44" s="201">
        <f t="shared" ca="1" si="30"/>
        <v>-40681.725241877437</v>
      </c>
      <c r="U44" s="195"/>
      <c r="V44" s="189">
        <f t="shared" ca="1" si="31"/>
        <v>-35776.646513448912</v>
      </c>
      <c r="W44" s="159" t="str">
        <f t="shared" si="32"/>
        <v>P.027</v>
      </c>
    </row>
    <row r="45" spans="1:23">
      <c r="A45" s="194" t="s">
        <v>334</v>
      </c>
      <c r="B45" s="156" t="s">
        <v>117</v>
      </c>
      <c r="C45" s="618" t="str">
        <f t="shared" ca="1" si="0"/>
        <v>Keystone Dam - Wekiwa 138 kV</v>
      </c>
      <c r="D45" s="181">
        <f t="shared" ca="1" si="0"/>
        <v>2020</v>
      </c>
      <c r="E45" s="182">
        <v>0</v>
      </c>
      <c r="F45" s="183">
        <f t="shared" ca="1" si="1"/>
        <v>0</v>
      </c>
      <c r="G45" s="183">
        <f t="shared" ca="1" si="26"/>
        <v>0</v>
      </c>
      <c r="H45" s="197"/>
      <c r="I45" s="185">
        <f t="shared" ca="1" si="3"/>
        <v>-7574.3355252463953</v>
      </c>
      <c r="J45" s="703">
        <v>347645.34520249761</v>
      </c>
      <c r="K45" s="198">
        <f t="shared" si="4"/>
        <v>368936.51842086675</v>
      </c>
      <c r="L45" s="199">
        <f t="shared" si="27"/>
        <v>-21291.173218369135</v>
      </c>
      <c r="M45" s="199"/>
      <c r="N45" s="196">
        <v>0</v>
      </c>
      <c r="O45" s="196">
        <v>0</v>
      </c>
      <c r="P45" s="196">
        <f t="shared" si="28"/>
        <v>0</v>
      </c>
      <c r="Q45" s="199">
        <f ca="1">+V45/$V$50 * $Q$50</f>
        <v>-3957.5423277961913</v>
      </c>
      <c r="R45" s="200">
        <f t="shared" ca="1" si="29"/>
        <v>-32823.051071411719</v>
      </c>
      <c r="S45" s="200"/>
      <c r="T45" s="201">
        <f t="shared" ca="1" si="30"/>
        <v>-32823.051071411719</v>
      </c>
      <c r="U45" s="195"/>
      <c r="V45" s="189">
        <f t="shared" ca="1" si="31"/>
        <v>-28865.50874361553</v>
      </c>
      <c r="W45" s="159" t="str">
        <f t="shared" si="32"/>
        <v>P.028</v>
      </c>
    </row>
    <row r="46" spans="1:23">
      <c r="A46" s="194" t="s">
        <v>341</v>
      </c>
      <c r="B46" s="156" t="s">
        <v>117</v>
      </c>
      <c r="C46" s="628" t="str">
        <f t="shared" ca="1" si="0"/>
        <v>Tulsa SE - S Hudson 138 kV</v>
      </c>
      <c r="D46" s="181">
        <f t="shared" ca="1" si="0"/>
        <v>2022</v>
      </c>
      <c r="E46" s="182"/>
      <c r="F46" s="183"/>
      <c r="G46" s="183"/>
      <c r="H46" s="197"/>
      <c r="I46" s="185">
        <f t="shared" ca="1" si="3"/>
        <v>-96370.240861168277</v>
      </c>
      <c r="J46" s="703">
        <v>98065.578092049604</v>
      </c>
      <c r="K46" s="198">
        <f t="shared" ref="K46" si="33">J46/J$50*K$50</f>
        <v>104071.50119365519</v>
      </c>
      <c r="L46" s="199">
        <f t="shared" ref="L46" si="34">+J46-K46</f>
        <v>-6005.9231016055855</v>
      </c>
      <c r="M46" s="199"/>
      <c r="N46" s="196"/>
      <c r="O46" s="196"/>
      <c r="P46" s="196"/>
      <c r="Q46" s="199">
        <f ca="1">+V46/$V$50 * $Q$50</f>
        <v>-14036.059639159952</v>
      </c>
      <c r="R46" s="200">
        <f t="shared" ref="R46" ca="1" si="35">I46+L46+P46+Q46</f>
        <v>-116412.22360193382</v>
      </c>
      <c r="S46" s="200"/>
      <c r="T46" s="201">
        <f t="shared" ref="T46" ca="1" si="36">+G46+R46</f>
        <v>-116412.22360193382</v>
      </c>
      <c r="U46" s="195"/>
      <c r="V46" s="189">
        <f t="shared" ca="1" si="31"/>
        <v>-102376.16396277386</v>
      </c>
      <c r="W46" s="159" t="str">
        <f t="shared" si="32"/>
        <v>P.029</v>
      </c>
    </row>
    <row r="47" spans="1:23">
      <c r="A47" s="194" t="s">
        <v>349</v>
      </c>
      <c r="B47" s="156" t="s">
        <v>117</v>
      </c>
      <c r="C47" s="634" t="str">
        <f t="shared" ca="1" si="0"/>
        <v>Tulsa SE - E 21st St Tap 138 kV</v>
      </c>
      <c r="D47" s="181">
        <f t="shared" ca="1" si="0"/>
        <v>2022</v>
      </c>
      <c r="E47" s="182"/>
      <c r="F47" s="183"/>
      <c r="G47" s="183"/>
      <c r="H47" s="197"/>
      <c r="I47" s="185">
        <f t="shared" ca="1" si="3"/>
        <v>-9080.7939148002479</v>
      </c>
      <c r="J47" s="703">
        <v>90185.047613691771</v>
      </c>
      <c r="K47" s="198">
        <f t="shared" ref="K47" si="37">J47/J$50*K$50</f>
        <v>95708.335921583624</v>
      </c>
      <c r="L47" s="199">
        <f t="shared" ref="L47" si="38">+J47-K47</f>
        <v>-5523.288307891853</v>
      </c>
      <c r="M47" s="199"/>
      <c r="N47" s="196"/>
      <c r="O47" s="196"/>
      <c r="P47" s="196"/>
      <c r="Q47" s="199">
        <f ca="1">+V47/$V$50 * $Q$50</f>
        <v>-2002.2606934895352</v>
      </c>
      <c r="R47" s="200">
        <f t="shared" ref="R47" ca="1" si="39">I47+L47+P47+Q47</f>
        <v>-16606.342916181635</v>
      </c>
      <c r="S47" s="200"/>
      <c r="T47" s="201">
        <f t="shared" ref="T47" ca="1" si="40">+G47+R47</f>
        <v>-16606.342916181635</v>
      </c>
      <c r="U47" s="195"/>
      <c r="V47" s="189">
        <f t="shared" ref="V47" ca="1" si="41">+I47+L47+P47</f>
        <v>-14604.082222692101</v>
      </c>
      <c r="W47" s="159" t="str">
        <f t="shared" ref="W47" si="42">A47</f>
        <v>P.030</v>
      </c>
    </row>
    <row r="48" spans="1:23">
      <c r="A48" s="194" t="s">
        <v>350</v>
      </c>
      <c r="B48" s="156" t="s">
        <v>117</v>
      </c>
      <c r="C48" s="634" t="str">
        <f t="shared" ca="1" si="0"/>
        <v>Pryor Junction 138/115 kV</v>
      </c>
      <c r="D48" s="181">
        <f t="shared" ca="1" si="0"/>
        <v>2022</v>
      </c>
      <c r="E48" s="182"/>
      <c r="F48" s="183"/>
      <c r="G48" s="183"/>
      <c r="H48" s="197"/>
      <c r="I48" s="185">
        <f t="shared" ca="1" si="3"/>
        <v>801.36099008530255</v>
      </c>
      <c r="J48" s="703">
        <v>3024.2132561392209</v>
      </c>
      <c r="K48" s="198">
        <f t="shared" ref="K48" si="43">J48/J$50*K$50</f>
        <v>3209.4280135761219</v>
      </c>
      <c r="L48" s="199">
        <f t="shared" ref="L48" si="44">+J48-K48</f>
        <v>-185.21475743690098</v>
      </c>
      <c r="M48" s="199"/>
      <c r="N48" s="196"/>
      <c r="O48" s="196"/>
      <c r="P48" s="196"/>
      <c r="Q48" s="199">
        <f ca="1">+V48/$V$50 * $Q$50</f>
        <v>84.47537916190511</v>
      </c>
      <c r="R48" s="200">
        <f t="shared" ref="R48" ca="1" si="45">I48+L48+P48+Q48</f>
        <v>700.62161181030672</v>
      </c>
      <c r="S48" s="200"/>
      <c r="T48" s="201">
        <f t="shared" ref="T48" ca="1" si="46">+G48+R48</f>
        <v>700.62161181030672</v>
      </c>
      <c r="U48" s="195"/>
      <c r="V48" s="189">
        <f t="shared" ref="V48" ca="1" si="47">+I48+L48+P48</f>
        <v>616.14623264840156</v>
      </c>
      <c r="W48" s="159" t="str">
        <f t="shared" ref="W48" si="48">A48</f>
        <v>P.031</v>
      </c>
    </row>
    <row r="49" spans="1:23">
      <c r="A49" s="159"/>
      <c r="B49" s="159"/>
      <c r="C49" s="159"/>
      <c r="D49" s="156"/>
      <c r="E49" s="200"/>
      <c r="F49" s="200"/>
      <c r="G49" s="200"/>
      <c r="H49" s="187"/>
      <c r="I49" s="200"/>
      <c r="J49" s="200"/>
      <c r="K49" s="202"/>
      <c r="L49" s="200"/>
      <c r="M49" s="200"/>
      <c r="N49" s="200"/>
      <c r="O49" s="200"/>
      <c r="P49" s="200"/>
      <c r="Q49" s="200"/>
      <c r="R49" s="200"/>
      <c r="S49" s="187"/>
      <c r="T49" s="201"/>
      <c r="V49" s="179"/>
    </row>
    <row r="50" spans="1:23">
      <c r="A50" s="159"/>
      <c r="B50" s="159"/>
      <c r="C50" s="203" t="s">
        <v>177</v>
      </c>
      <c r="D50" s="156"/>
      <c r="E50" s="187">
        <f>SUM(E18:E49)</f>
        <v>0</v>
      </c>
      <c r="F50" s="187">
        <f ca="1">SUM(F18:F49)</f>
        <v>0</v>
      </c>
      <c r="G50" s="187">
        <f ca="1">SUM(G18:G49)</f>
        <v>0</v>
      </c>
      <c r="H50" s="187"/>
      <c r="I50" s="187">
        <f ca="1">SUM(I18:I49)</f>
        <v>189765.21769207093</v>
      </c>
      <c r="J50" s="187">
        <f>SUM(J18:J49)</f>
        <v>8083573.6241971096</v>
      </c>
      <c r="K50" s="705">
        <v>8578643.5816446058</v>
      </c>
      <c r="L50" s="187">
        <f>SUM(L18:L49)</f>
        <v>-495069.95744749618</v>
      </c>
      <c r="M50" s="187">
        <f>SUM(M18:M42)</f>
        <v>0</v>
      </c>
      <c r="N50" s="187">
        <f>SUM(N18:N49)</f>
        <v>0</v>
      </c>
      <c r="O50" s="187">
        <f>SUM(O18:O49)</f>
        <v>0</v>
      </c>
      <c r="P50" s="187">
        <f>SUM(P18:P49)</f>
        <v>0</v>
      </c>
      <c r="Q50" s="187">
        <v>-41858.137377403327</v>
      </c>
      <c r="R50" s="187">
        <f ca="1">SUM(R18:R49)</f>
        <v>-347162.87713282858</v>
      </c>
      <c r="S50" s="187">
        <f>SUM(S18:S42)</f>
        <v>0</v>
      </c>
      <c r="T50" s="190">
        <f ca="1">SUM(T18:T49)</f>
        <v>-347162.87713282858</v>
      </c>
      <c r="V50" s="190">
        <f ca="1">SUM(V18:V49)</f>
        <v>-305304.73975542519</v>
      </c>
      <c r="W50" s="204" t="s">
        <v>267</v>
      </c>
    </row>
    <row r="51" spans="1:23" ht="13.5" thickBot="1">
      <c r="A51" s="159"/>
      <c r="B51" s="159"/>
      <c r="C51" s="205"/>
      <c r="D51" s="159"/>
      <c r="E51" s="206"/>
      <c r="F51" s="207" t="str">
        <f ca="1">IF(F50='PSO.WS.F.BPU.ATRR.Projected'!O19,"","Error")</f>
        <v/>
      </c>
      <c r="G51" s="207"/>
      <c r="H51" s="159"/>
      <c r="I51" s="208" t="str">
        <f ca="1">IF(ROUND(I50,0)=ROUND('PSO.WS.G.BPU.ATRR.True-up'!N19,0),"","Error")</f>
        <v/>
      </c>
      <c r="J51" s="209"/>
      <c r="K51" s="210" t="str">
        <f>IF(K50=SUM(K18:K49),"","Error -- check allocations above).")</f>
        <v/>
      </c>
      <c r="L51" s="211"/>
      <c r="M51" s="211"/>
      <c r="N51" s="211"/>
      <c r="O51" s="211"/>
      <c r="P51" s="211"/>
      <c r="Q51" s="210" t="str">
        <f ca="1">IF(Q50=SUM(Q18:Q49),"","Error -- check allocations above).")</f>
        <v/>
      </c>
      <c r="R51" s="187"/>
      <c r="S51" s="187"/>
      <c r="T51" s="187"/>
      <c r="V51" s="212"/>
      <c r="W51" s="204"/>
    </row>
    <row r="52" spans="1:23">
      <c r="A52" s="159"/>
      <c r="B52" s="159"/>
      <c r="C52" s="213" t="s">
        <v>217</v>
      </c>
      <c r="D52" s="159"/>
      <c r="E52" s="187"/>
      <c r="F52" s="187"/>
      <c r="G52" s="187"/>
      <c r="H52" s="159"/>
      <c r="I52" s="214"/>
      <c r="J52" s="214"/>
      <c r="K52" s="159"/>
      <c r="L52" s="159"/>
      <c r="M52" s="159"/>
      <c r="N52" s="211"/>
      <c r="O52" s="211"/>
      <c r="P52" s="211"/>
      <c r="Q52" s="211"/>
      <c r="R52" s="187"/>
      <c r="S52" s="187"/>
      <c r="T52" s="187"/>
    </row>
    <row r="53" spans="1:23">
      <c r="A53" s="159"/>
      <c r="B53" s="159"/>
      <c r="C53" s="213"/>
      <c r="D53" s="159"/>
      <c r="E53" s="187"/>
      <c r="F53" s="187" t="s">
        <v>351</v>
      </c>
      <c r="G53" s="187"/>
      <c r="H53" s="159"/>
      <c r="I53" s="215"/>
      <c r="J53" s="216"/>
      <c r="K53" s="186"/>
      <c r="L53" s="159"/>
      <c r="M53" s="159"/>
      <c r="N53" s="211"/>
      <c r="O53" s="211"/>
      <c r="P53" s="211"/>
      <c r="Q53" s="630"/>
      <c r="R53" s="211"/>
      <c r="S53" s="159"/>
      <c r="T53" s="159"/>
    </row>
    <row r="54" spans="1:23">
      <c r="E54" s="217"/>
      <c r="F54" s="217"/>
      <c r="G54" s="217"/>
      <c r="I54" s="217"/>
      <c r="J54" s="218"/>
      <c r="N54" s="219"/>
      <c r="O54" s="219"/>
      <c r="P54" s="219"/>
      <c r="Q54" s="220"/>
      <c r="R54" s="219"/>
    </row>
    <row r="55" spans="1:23">
      <c r="E55" s="217"/>
      <c r="F55" s="217"/>
      <c r="G55" s="217"/>
    </row>
    <row r="56" spans="1:23">
      <c r="A56" s="221" t="s">
        <v>188</v>
      </c>
      <c r="B56" s="222"/>
      <c r="C56" s="222"/>
      <c r="D56" s="222"/>
      <c r="E56" s="223"/>
      <c r="F56" s="223"/>
      <c r="G56" s="223"/>
      <c r="H56" s="222"/>
      <c r="I56" s="222"/>
      <c r="J56" s="222"/>
      <c r="K56" s="222"/>
      <c r="L56" s="222"/>
      <c r="M56" s="222"/>
      <c r="N56" s="222"/>
      <c r="O56" s="224"/>
      <c r="V56" s="148" t="s">
        <v>201</v>
      </c>
    </row>
    <row r="57" spans="1:23" ht="15.75">
      <c r="A57" s="225" t="s">
        <v>191</v>
      </c>
      <c r="B57" s="195"/>
      <c r="C57" s="226" t="str">
        <f ca="1">RIGHT(CELL("address",P.001!D7),4)</f>
        <v>$D$7</v>
      </c>
      <c r="D57" s="226" t="str">
        <f ca="1">RIGHT(CELL("address",P.001!D11),4)</f>
        <v>D$11</v>
      </c>
      <c r="E57" s="226" t="str">
        <f ca="1">RIGHT(CELL("address",P.001!N5),4)</f>
        <v>$N$5</v>
      </c>
      <c r="F57" s="226" t="str">
        <f ca="1">RIGHT(CELL("address",P.001!N7),4)</f>
        <v>$N$7</v>
      </c>
      <c r="G57" s="195"/>
      <c r="H57" s="227"/>
      <c r="I57" s="226" t="str">
        <f ca="1">RIGHT(CELL("address",P.001!M89),4)</f>
        <v>M$89</v>
      </c>
      <c r="J57" s="226"/>
      <c r="K57" s="195"/>
      <c r="L57" s="195"/>
      <c r="M57" s="195"/>
      <c r="N57" s="226" t="str">
        <f ca="1">RIGHT(CELL("address",P.001!N87),4)</f>
        <v>N$87</v>
      </c>
      <c r="O57" s="228" t="str">
        <f ca="1">RIGHT(CELL("address",P.001!N88),4)</f>
        <v>N$88</v>
      </c>
      <c r="P57" s="178" t="s">
        <v>190</v>
      </c>
      <c r="V57" s="148" t="s">
        <v>202</v>
      </c>
    </row>
    <row r="58" spans="1:23">
      <c r="A58" s="229" t="s">
        <v>192</v>
      </c>
      <c r="B58" s="230"/>
      <c r="C58" s="230"/>
      <c r="D58" s="230"/>
      <c r="E58" s="231"/>
      <c r="F58" s="231"/>
      <c r="G58" s="231"/>
      <c r="H58" s="230"/>
      <c r="I58" s="230"/>
      <c r="J58" s="230"/>
      <c r="K58" s="230"/>
      <c r="L58" s="230"/>
      <c r="M58" s="230"/>
      <c r="N58" s="230"/>
      <c r="O58" s="232"/>
      <c r="V58" s="148" t="s">
        <v>203</v>
      </c>
    </row>
    <row r="59" spans="1:23">
      <c r="E59" s="217"/>
      <c r="F59" s="217"/>
      <c r="G59" s="217"/>
      <c r="V59" s="148" t="s">
        <v>204</v>
      </c>
    </row>
    <row r="60" spans="1:23">
      <c r="A60" s="233" t="s">
        <v>241</v>
      </c>
      <c r="B60" s="233" t="s">
        <v>242</v>
      </c>
      <c r="E60" s="217"/>
      <c r="F60" s="217"/>
      <c r="G60" s="217"/>
      <c r="V60" s="234" t="s">
        <v>225</v>
      </c>
    </row>
    <row r="61" spans="1:23">
      <c r="B61" s="233" t="s">
        <v>245</v>
      </c>
      <c r="E61" s="217"/>
      <c r="F61" s="217"/>
      <c r="G61" s="217"/>
    </row>
    <row r="62" spans="1:23">
      <c r="B62" s="233" t="s">
        <v>246</v>
      </c>
      <c r="E62" s="217"/>
      <c r="F62" s="217"/>
      <c r="G62" s="217"/>
    </row>
    <row r="63" spans="1:23">
      <c r="B63" s="233" t="s">
        <v>243</v>
      </c>
      <c r="E63" s="217"/>
      <c r="F63" s="217"/>
      <c r="G63" s="217"/>
      <c r="K63" s="237"/>
    </row>
    <row r="64" spans="1:23">
      <c r="B64" s="233" t="s">
        <v>244</v>
      </c>
      <c r="E64" s="217"/>
      <c r="F64" s="217"/>
      <c r="G64" s="217"/>
      <c r="K64" s="235"/>
    </row>
    <row r="65" spans="2:10">
      <c r="B65" s="233" t="s">
        <v>247</v>
      </c>
      <c r="E65" s="217"/>
      <c r="F65" s="217"/>
      <c r="G65" s="217"/>
    </row>
    <row r="68" spans="2:10" ht="12.75" customHeight="1">
      <c r="E68" s="160"/>
      <c r="F68" s="160"/>
      <c r="G68" s="160"/>
      <c r="H68" s="160"/>
      <c r="I68" s="236"/>
      <c r="J68" s="236"/>
    </row>
    <row r="70" spans="2:10" ht="12.75" customHeight="1">
      <c r="E70" s="215"/>
      <c r="F70" s="215"/>
      <c r="G70" s="237"/>
      <c r="H70" s="237"/>
      <c r="I70" s="238"/>
      <c r="J70" s="239"/>
    </row>
    <row r="71" spans="2:10" ht="12.75" customHeight="1">
      <c r="E71" s="215"/>
      <c r="F71" s="215"/>
      <c r="G71" s="237"/>
      <c r="H71" s="237"/>
      <c r="I71" s="238"/>
      <c r="J71" s="239"/>
    </row>
    <row r="72" spans="2:10" ht="12.75" customHeight="1">
      <c r="E72" s="215"/>
      <c r="F72" s="215"/>
      <c r="G72" s="237"/>
      <c r="H72" s="237"/>
      <c r="I72" s="238"/>
      <c r="J72" s="239"/>
    </row>
    <row r="73" spans="2:10" ht="12.75" customHeight="1">
      <c r="E73" s="215"/>
      <c r="F73" s="215"/>
      <c r="G73" s="237"/>
      <c r="H73" s="237"/>
      <c r="I73" s="238"/>
      <c r="J73" s="239"/>
    </row>
    <row r="74" spans="2:10" ht="12.75" customHeight="1">
      <c r="E74" s="215"/>
      <c r="F74" s="215"/>
      <c r="G74" s="237"/>
      <c r="H74" s="237"/>
      <c r="I74" s="238"/>
      <c r="J74" s="239"/>
    </row>
    <row r="75" spans="2:10" ht="12.75" customHeight="1">
      <c r="E75" s="215"/>
      <c r="F75" s="215"/>
      <c r="G75" s="237"/>
      <c r="H75" s="237"/>
      <c r="I75" s="238"/>
      <c r="J75" s="239"/>
    </row>
    <row r="76" spans="2:10" ht="12.75" customHeight="1">
      <c r="E76" s="215"/>
      <c r="F76" s="215"/>
      <c r="G76" s="237"/>
      <c r="H76" s="237"/>
      <c r="I76" s="238"/>
      <c r="J76" s="239"/>
    </row>
    <row r="77" spans="2:10" ht="12.75" customHeight="1">
      <c r="E77" s="215"/>
      <c r="F77" s="215"/>
      <c r="G77" s="237"/>
      <c r="H77" s="237"/>
      <c r="I77" s="238"/>
      <c r="J77" s="239"/>
    </row>
    <row r="78" spans="2:10" ht="12.75" customHeight="1">
      <c r="E78" s="215"/>
      <c r="F78" s="215"/>
      <c r="G78" s="237"/>
      <c r="H78" s="237"/>
      <c r="I78" s="238"/>
      <c r="J78" s="239"/>
    </row>
    <row r="79" spans="2:10" ht="12.75" customHeight="1">
      <c r="E79" s="215"/>
      <c r="F79" s="215"/>
      <c r="G79" s="237"/>
      <c r="H79" s="237"/>
      <c r="I79" s="238"/>
      <c r="J79" s="239"/>
    </row>
    <row r="80" spans="2:10" ht="12.75" customHeight="1">
      <c r="E80" s="215"/>
      <c r="F80" s="215"/>
      <c r="G80" s="237"/>
      <c r="H80" s="237"/>
      <c r="I80" s="238"/>
      <c r="J80" s="239"/>
    </row>
    <row r="81" spans="5:10" ht="12.75" customHeight="1">
      <c r="E81" s="215"/>
      <c r="F81" s="215"/>
      <c r="G81" s="237"/>
      <c r="H81" s="237"/>
      <c r="I81" s="238"/>
      <c r="J81" s="239"/>
    </row>
    <row r="82" spans="5:10" ht="12.75" customHeight="1">
      <c r="E82" s="215"/>
      <c r="F82" s="215"/>
      <c r="G82" s="237"/>
      <c r="H82" s="237"/>
      <c r="I82" s="238"/>
      <c r="J82" s="239"/>
    </row>
    <row r="83" spans="5:10" ht="12.75" customHeight="1">
      <c r="E83" s="215"/>
      <c r="F83" s="215"/>
      <c r="G83" s="237"/>
      <c r="H83" s="237"/>
      <c r="I83" s="238"/>
      <c r="J83" s="239"/>
    </row>
    <row r="84" spans="5:10" ht="12.75" customHeight="1">
      <c r="E84" s="215"/>
      <c r="F84" s="215"/>
      <c r="G84" s="237"/>
      <c r="H84" s="237"/>
      <c r="I84" s="238"/>
      <c r="J84" s="239"/>
    </row>
    <row r="85" spans="5:10" ht="12.75" customHeight="1">
      <c r="E85" s="215"/>
      <c r="F85" s="215"/>
      <c r="G85" s="237"/>
      <c r="H85" s="237"/>
      <c r="I85" s="238"/>
      <c r="J85" s="239"/>
    </row>
    <row r="86" spans="5:10" ht="12.75" customHeight="1">
      <c r="E86" s="215"/>
      <c r="F86" s="215"/>
      <c r="G86" s="237"/>
      <c r="H86" s="237"/>
      <c r="I86" s="238"/>
      <c r="J86" s="239"/>
    </row>
    <row r="87" spans="5:10" ht="12.75" customHeight="1">
      <c r="E87" s="215"/>
      <c r="F87" s="215"/>
      <c r="G87" s="237"/>
      <c r="H87" s="237"/>
      <c r="I87" s="238"/>
      <c r="J87" s="239"/>
    </row>
    <row r="88" spans="5:10" ht="12.75" customHeight="1">
      <c r="E88" s="215"/>
      <c r="F88" s="215"/>
      <c r="G88" s="237"/>
      <c r="H88" s="237"/>
      <c r="I88" s="238"/>
      <c r="J88" s="239"/>
    </row>
    <row r="89" spans="5:10" ht="12.75" customHeight="1">
      <c r="E89" s="215"/>
      <c r="F89" s="215"/>
      <c r="G89" s="237"/>
      <c r="H89" s="237"/>
      <c r="I89" s="238"/>
      <c r="J89" s="239"/>
    </row>
    <row r="90" spans="5:10" ht="12.75" customHeight="1">
      <c r="E90" s="215"/>
      <c r="F90" s="215"/>
      <c r="G90" s="237"/>
      <c r="H90" s="237"/>
      <c r="I90" s="238"/>
      <c r="J90" s="239"/>
    </row>
    <row r="91" spans="5:10" ht="12.75" customHeight="1">
      <c r="E91" s="215"/>
      <c r="F91" s="215"/>
      <c r="G91" s="237"/>
      <c r="H91" s="237"/>
      <c r="I91" s="238"/>
      <c r="J91" s="239"/>
    </row>
    <row r="92" spans="5:10" ht="12.75" customHeight="1">
      <c r="E92" s="215"/>
      <c r="F92" s="215"/>
      <c r="G92" s="237"/>
      <c r="H92" s="237"/>
      <c r="I92" s="238"/>
      <c r="J92" s="239"/>
    </row>
    <row r="93" spans="5:10" ht="12.75" customHeight="1">
      <c r="E93" s="215"/>
      <c r="F93" s="215"/>
      <c r="G93" s="237"/>
      <c r="H93" s="237"/>
      <c r="I93" s="238"/>
      <c r="J93" s="239"/>
    </row>
    <row r="94" spans="5:10" ht="12.75" customHeight="1">
      <c r="E94" s="215"/>
      <c r="F94" s="215"/>
      <c r="G94" s="237"/>
      <c r="H94" s="237"/>
      <c r="I94" s="238"/>
      <c r="J94" s="239"/>
    </row>
    <row r="95" spans="5:10" ht="12.75" customHeight="1">
      <c r="E95" s="237"/>
      <c r="F95" s="237"/>
      <c r="H95" s="237"/>
      <c r="I95" s="237"/>
      <c r="J95" s="237"/>
    </row>
    <row r="96" spans="5:10" ht="12.75" customHeight="1">
      <c r="E96" s="237"/>
      <c r="F96" s="237"/>
      <c r="G96" s="237"/>
      <c r="H96" s="237"/>
      <c r="I96" s="237"/>
      <c r="J96" s="237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5">
    <tabColor rgb="FFC00000"/>
  </sheetPr>
  <dimension ref="A1:P162"/>
  <sheetViews>
    <sheetView view="pageBreakPreview" zoomScale="75" zoomScaleNormal="100" workbookViewId="0">
      <selection activeCell="F19" sqref="F19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7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8297.5518554789269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8297.5518554789269</v>
      </c>
      <c r="O6" s="233"/>
      <c r="P6" s="233"/>
    </row>
    <row r="7" spans="1:16" ht="13.5" thickBot="1">
      <c r="C7" s="431" t="s">
        <v>46</v>
      </c>
      <c r="D7" s="432" t="s">
        <v>214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86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84424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IF(D10=0,0,ROUND(D10/D13,0))</f>
        <v>2010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2007</v>
      </c>
      <c r="D17" s="473">
        <v>84424</v>
      </c>
      <c r="E17" s="474">
        <v>0</v>
      </c>
      <c r="F17" s="473">
        <v>84424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2008</v>
      </c>
      <c r="D18" s="479">
        <v>84424</v>
      </c>
      <c r="E18" s="480">
        <v>1508</v>
      </c>
      <c r="F18" s="479">
        <v>82916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2009</v>
      </c>
      <c r="D19" s="479">
        <v>82916</v>
      </c>
      <c r="E19" s="480">
        <v>1508</v>
      </c>
      <c r="F19" s="479">
        <v>81408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81408</v>
      </c>
      <c r="E20" s="480">
        <v>1508</v>
      </c>
      <c r="F20" s="479">
        <v>79900</v>
      </c>
      <c r="G20" s="480">
        <v>13037.291488737637</v>
      </c>
      <c r="H20" s="481">
        <v>13037.291488737637</v>
      </c>
      <c r="I20" s="475">
        <v>0</v>
      </c>
      <c r="J20" s="475"/>
      <c r="K20" s="540">
        <f t="shared" ref="K20:K25" si="5">G20</f>
        <v>13037.291488737637</v>
      </c>
      <c r="L20" s="541">
        <f t="shared" si="1"/>
        <v>0</v>
      </c>
      <c r="M20" s="540">
        <f t="shared" ref="M20:M25" si="6">H20</f>
        <v>13037.291488737637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2011</v>
      </c>
      <c r="D21" s="479">
        <v>79900</v>
      </c>
      <c r="E21" s="480">
        <v>1655</v>
      </c>
      <c r="F21" s="479">
        <v>78245</v>
      </c>
      <c r="G21" s="480">
        <v>13903.733792156472</v>
      </c>
      <c r="H21" s="481">
        <v>13903.733792156472</v>
      </c>
      <c r="I21" s="475">
        <f t="shared" si="0"/>
        <v>0</v>
      </c>
      <c r="J21" s="475"/>
      <c r="K21" s="476">
        <f t="shared" si="5"/>
        <v>13903.733792156472</v>
      </c>
      <c r="L21" s="550">
        <f t="shared" si="1"/>
        <v>0</v>
      </c>
      <c r="M21" s="476">
        <f t="shared" si="6"/>
        <v>13903.733792156472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2012</v>
      </c>
      <c r="D22" s="479">
        <v>78245</v>
      </c>
      <c r="E22" s="480">
        <v>1624</v>
      </c>
      <c r="F22" s="479">
        <v>76621</v>
      </c>
      <c r="G22" s="480">
        <v>12290.159159207155</v>
      </c>
      <c r="H22" s="481">
        <v>12290.159159207155</v>
      </c>
      <c r="I22" s="475">
        <f t="shared" si="0"/>
        <v>0</v>
      </c>
      <c r="J22" s="475"/>
      <c r="K22" s="476">
        <f t="shared" si="5"/>
        <v>12290.159159207155</v>
      </c>
      <c r="L22" s="550">
        <f t="shared" si="1"/>
        <v>0</v>
      </c>
      <c r="M22" s="476">
        <f t="shared" si="6"/>
        <v>12290.159159207155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2013</v>
      </c>
      <c r="D23" s="479">
        <v>76621</v>
      </c>
      <c r="E23" s="480">
        <v>1624</v>
      </c>
      <c r="F23" s="479">
        <v>74997</v>
      </c>
      <c r="G23" s="480">
        <v>12334.078606810854</v>
      </c>
      <c r="H23" s="481">
        <v>12334.078606810854</v>
      </c>
      <c r="I23" s="475">
        <v>0</v>
      </c>
      <c r="J23" s="475"/>
      <c r="K23" s="476">
        <f t="shared" si="5"/>
        <v>12334.078606810854</v>
      </c>
      <c r="L23" s="550">
        <f t="shared" ref="L23:L28" si="7">IF(K23&lt;&gt;0,+G23-K23,0)</f>
        <v>0</v>
      </c>
      <c r="M23" s="476">
        <f t="shared" si="6"/>
        <v>12334.078606810854</v>
      </c>
      <c r="N23" s="478">
        <f t="shared" ref="N23:N28" si="8">IF(M23&lt;&gt;0,+H23-M23,0)</f>
        <v>0</v>
      </c>
      <c r="O23" s="478">
        <f t="shared" ref="O23:O28" si="9">+N23-L23</f>
        <v>0</v>
      </c>
      <c r="P23" s="243"/>
    </row>
    <row r="24" spans="2:16">
      <c r="B24" s="160" t="str">
        <f t="shared" si="4"/>
        <v/>
      </c>
      <c r="C24" s="472">
        <f>IF(D11="","-",+C23+1)</f>
        <v>2014</v>
      </c>
      <c r="D24" s="479">
        <v>74997</v>
      </c>
      <c r="E24" s="480">
        <v>1624</v>
      </c>
      <c r="F24" s="479">
        <v>73373</v>
      </c>
      <c r="G24" s="480">
        <v>11724.436761777028</v>
      </c>
      <c r="H24" s="481">
        <v>11724.436761777028</v>
      </c>
      <c r="I24" s="475">
        <v>0</v>
      </c>
      <c r="J24" s="475"/>
      <c r="K24" s="476">
        <f t="shared" si="5"/>
        <v>11724.436761777028</v>
      </c>
      <c r="L24" s="550">
        <f t="shared" si="7"/>
        <v>0</v>
      </c>
      <c r="M24" s="476">
        <f t="shared" si="6"/>
        <v>11724.436761777028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4"/>
        <v/>
      </c>
      <c r="C25" s="472">
        <f>IF(D11="","-",+C24+1)</f>
        <v>2015</v>
      </c>
      <c r="D25" s="479">
        <v>73373</v>
      </c>
      <c r="E25" s="480">
        <v>1624</v>
      </c>
      <c r="F25" s="479">
        <v>71749</v>
      </c>
      <c r="G25" s="480">
        <v>11516.153501332747</v>
      </c>
      <c r="H25" s="481">
        <v>11516.153501332747</v>
      </c>
      <c r="I25" s="475">
        <v>0</v>
      </c>
      <c r="J25" s="475"/>
      <c r="K25" s="476">
        <f t="shared" si="5"/>
        <v>11516.153501332747</v>
      </c>
      <c r="L25" s="550">
        <f t="shared" si="7"/>
        <v>0</v>
      </c>
      <c r="M25" s="476">
        <f t="shared" si="6"/>
        <v>11516.153501332747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2016</v>
      </c>
      <c r="D26" s="479">
        <v>71749</v>
      </c>
      <c r="E26" s="480">
        <v>1624</v>
      </c>
      <c r="F26" s="479">
        <v>70125</v>
      </c>
      <c r="G26" s="480">
        <v>10821.569336122064</v>
      </c>
      <c r="H26" s="481">
        <v>10821.569336122064</v>
      </c>
      <c r="I26" s="475">
        <f t="shared" si="0"/>
        <v>0</v>
      </c>
      <c r="J26" s="475"/>
      <c r="K26" s="476">
        <f t="shared" ref="K26:K31" si="10">G26</f>
        <v>10821.569336122064</v>
      </c>
      <c r="L26" s="550">
        <f t="shared" si="7"/>
        <v>0</v>
      </c>
      <c r="M26" s="476">
        <f t="shared" ref="M26:M31" si="11">H26</f>
        <v>10821.569336122064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2017</v>
      </c>
      <c r="D27" s="479">
        <v>70125</v>
      </c>
      <c r="E27" s="480">
        <v>1835</v>
      </c>
      <c r="F27" s="479">
        <v>68290</v>
      </c>
      <c r="G27" s="480">
        <v>10525.630110064558</v>
      </c>
      <c r="H27" s="481">
        <v>10525.630110064558</v>
      </c>
      <c r="I27" s="475">
        <f t="shared" si="0"/>
        <v>0</v>
      </c>
      <c r="J27" s="475"/>
      <c r="K27" s="476">
        <f t="shared" si="10"/>
        <v>10525.630110064558</v>
      </c>
      <c r="L27" s="550">
        <f t="shared" si="7"/>
        <v>0</v>
      </c>
      <c r="M27" s="476">
        <f t="shared" si="11"/>
        <v>10525.630110064558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2018</v>
      </c>
      <c r="D28" s="479">
        <v>68290</v>
      </c>
      <c r="E28" s="480">
        <v>1876</v>
      </c>
      <c r="F28" s="479">
        <v>66414</v>
      </c>
      <c r="G28" s="480">
        <v>9942.0041745497692</v>
      </c>
      <c r="H28" s="481">
        <v>9942.0041745497692</v>
      </c>
      <c r="I28" s="475">
        <f t="shared" si="0"/>
        <v>0</v>
      </c>
      <c r="J28" s="475"/>
      <c r="K28" s="476">
        <f t="shared" si="10"/>
        <v>9942.0041745497692</v>
      </c>
      <c r="L28" s="550">
        <f t="shared" si="7"/>
        <v>0</v>
      </c>
      <c r="M28" s="476">
        <f t="shared" si="11"/>
        <v>9942.0041745497692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2019</v>
      </c>
      <c r="D29" s="479">
        <v>66414</v>
      </c>
      <c r="E29" s="480">
        <v>2111</v>
      </c>
      <c r="F29" s="479">
        <v>64303</v>
      </c>
      <c r="G29" s="480">
        <v>9408.7099366610164</v>
      </c>
      <c r="H29" s="481">
        <v>9408.7099366610164</v>
      </c>
      <c r="I29" s="475">
        <f t="shared" si="0"/>
        <v>0</v>
      </c>
      <c r="J29" s="475"/>
      <c r="K29" s="476">
        <f t="shared" si="10"/>
        <v>9408.7099366610164</v>
      </c>
      <c r="L29" s="550">
        <f t="shared" ref="L29" si="12">IF(K29&lt;&gt;0,+G29-K29,0)</f>
        <v>0</v>
      </c>
      <c r="M29" s="476">
        <f t="shared" si="11"/>
        <v>9408.7099366610164</v>
      </c>
      <c r="N29" s="478">
        <f t="shared" ref="N29" si="13">IF(M29&lt;&gt;0,+H29-M29,0)</f>
        <v>0</v>
      </c>
      <c r="O29" s="478">
        <f t="shared" ref="O29" si="14">+N29-L29</f>
        <v>0</v>
      </c>
      <c r="P29" s="243"/>
    </row>
    <row r="30" spans="2:16">
      <c r="B30" s="160" t="str">
        <f t="shared" si="4"/>
        <v>IU</v>
      </c>
      <c r="C30" s="472">
        <f>IF(D11="","-",+C29+1)</f>
        <v>2020</v>
      </c>
      <c r="D30" s="479">
        <v>64538</v>
      </c>
      <c r="E30" s="480">
        <v>2010</v>
      </c>
      <c r="F30" s="479">
        <v>62528</v>
      </c>
      <c r="G30" s="480">
        <v>8871.8674914200565</v>
      </c>
      <c r="H30" s="481">
        <v>8871.8674914200565</v>
      </c>
      <c r="I30" s="475">
        <f t="shared" si="0"/>
        <v>0</v>
      </c>
      <c r="J30" s="475"/>
      <c r="K30" s="476">
        <f t="shared" si="10"/>
        <v>8871.8674914200565</v>
      </c>
      <c r="L30" s="550">
        <f t="shared" ref="L30" si="15">IF(K30&lt;&gt;0,+G30-K30,0)</f>
        <v>0</v>
      </c>
      <c r="M30" s="476">
        <f t="shared" si="11"/>
        <v>8871.8674914200565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4"/>
        <v>IU</v>
      </c>
      <c r="C31" s="472">
        <f>IF(D11="","-",+C30+1)</f>
        <v>2021</v>
      </c>
      <c r="D31" s="479">
        <v>62293</v>
      </c>
      <c r="E31" s="480">
        <v>1963</v>
      </c>
      <c r="F31" s="479">
        <v>60330</v>
      </c>
      <c r="G31" s="480">
        <v>8467.8802590192263</v>
      </c>
      <c r="H31" s="481">
        <v>8467.8802590192263</v>
      </c>
      <c r="I31" s="475">
        <f t="shared" si="0"/>
        <v>0</v>
      </c>
      <c r="J31" s="475"/>
      <c r="K31" s="476">
        <f t="shared" si="10"/>
        <v>8467.8802590192263</v>
      </c>
      <c r="L31" s="550">
        <f t="shared" ref="L31" si="16">IF(K31&lt;&gt;0,+G31-K31,0)</f>
        <v>0</v>
      </c>
      <c r="M31" s="476">
        <f t="shared" si="11"/>
        <v>8467.8802590192263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/>
      </c>
      <c r="C32" s="472">
        <f>IF(D11="","-",+C31+1)</f>
        <v>2022</v>
      </c>
      <c r="D32" s="479">
        <v>60330</v>
      </c>
      <c r="E32" s="480">
        <v>2010</v>
      </c>
      <c r="F32" s="479">
        <v>58320</v>
      </c>
      <c r="G32" s="480">
        <v>8297.5518554789269</v>
      </c>
      <c r="H32" s="481">
        <v>8297.5518554789269</v>
      </c>
      <c r="I32" s="475">
        <f t="shared" si="0"/>
        <v>0</v>
      </c>
      <c r="J32" s="475"/>
      <c r="K32" s="476">
        <f t="shared" ref="K32" si="17">G32</f>
        <v>8297.5518554789269</v>
      </c>
      <c r="L32" s="550">
        <f t="shared" ref="L32" si="18">IF(K32&lt;&gt;0,+G32-K32,0)</f>
        <v>0</v>
      </c>
      <c r="M32" s="476">
        <f t="shared" ref="M32" si="19">H32</f>
        <v>8297.5518554789269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58320</v>
      </c>
      <c r="E33" s="484">
        <f>IF(+I14&lt;F32,I14,D33)</f>
        <v>2010</v>
      </c>
      <c r="F33" s="485">
        <f t="shared" ref="F33:F48" si="20">+D33-E33</f>
        <v>56310</v>
      </c>
      <c r="G33" s="486">
        <f t="shared" ref="G33:G71" si="21">(D33+F33)/2*I$12+E33</f>
        <v>8189.2015534426382</v>
      </c>
      <c r="H33" s="455">
        <f t="shared" ref="H33:H71" si="22">+(D33+F33)/2*I$13+E33</f>
        <v>8189.2015534426382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56310</v>
      </c>
      <c r="E34" s="484">
        <f>IF(+I14&lt;F33,I14,D34)</f>
        <v>2010</v>
      </c>
      <c r="F34" s="485">
        <f t="shared" si="20"/>
        <v>54300</v>
      </c>
      <c r="G34" s="486">
        <f t="shared" si="21"/>
        <v>7972.5009493700618</v>
      </c>
      <c r="H34" s="455">
        <f t="shared" si="22"/>
        <v>7972.5009493700618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54300</v>
      </c>
      <c r="E35" s="484">
        <f>IF(+I14&lt;F34,I14,D35)</f>
        <v>2010</v>
      </c>
      <c r="F35" s="485">
        <f t="shared" si="20"/>
        <v>52290</v>
      </c>
      <c r="G35" s="486">
        <f t="shared" si="21"/>
        <v>7755.8003452974854</v>
      </c>
      <c r="H35" s="455">
        <f t="shared" si="22"/>
        <v>7755.8003452974854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52290</v>
      </c>
      <c r="E36" s="484">
        <f>IF(+I14&lt;F35,I14,D36)</f>
        <v>2010</v>
      </c>
      <c r="F36" s="485">
        <f t="shared" si="20"/>
        <v>50280</v>
      </c>
      <c r="G36" s="486">
        <f t="shared" si="21"/>
        <v>7539.0997412249098</v>
      </c>
      <c r="H36" s="455">
        <f t="shared" si="22"/>
        <v>7539.0997412249098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50280</v>
      </c>
      <c r="E37" s="484">
        <f>IF(+I14&lt;F36,I14,D37)</f>
        <v>2010</v>
      </c>
      <c r="F37" s="485">
        <f t="shared" si="20"/>
        <v>48270</v>
      </c>
      <c r="G37" s="486">
        <f t="shared" si="21"/>
        <v>7322.3991371523334</v>
      </c>
      <c r="H37" s="455">
        <f t="shared" si="22"/>
        <v>7322.3991371523334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48270</v>
      </c>
      <c r="E38" s="484">
        <f>IF(+I14&lt;F37,I14,D38)</f>
        <v>2010</v>
      </c>
      <c r="F38" s="485">
        <f t="shared" si="20"/>
        <v>46260</v>
      </c>
      <c r="G38" s="486">
        <f t="shared" si="21"/>
        <v>7105.698533079757</v>
      </c>
      <c r="H38" s="455">
        <f t="shared" si="22"/>
        <v>7105.698533079757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46260</v>
      </c>
      <c r="E39" s="484">
        <f>IF(+I14&lt;F38,I14,D39)</f>
        <v>2010</v>
      </c>
      <c r="F39" s="485">
        <f t="shared" si="20"/>
        <v>44250</v>
      </c>
      <c r="G39" s="486">
        <f t="shared" si="21"/>
        <v>6888.9979290071815</v>
      </c>
      <c r="H39" s="455">
        <f t="shared" si="22"/>
        <v>6888.9979290071815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44250</v>
      </c>
      <c r="E40" s="484">
        <f>IF(+I14&lt;F39,I14,D40)</f>
        <v>2010</v>
      </c>
      <c r="F40" s="485">
        <f t="shared" si="20"/>
        <v>42240</v>
      </c>
      <c r="G40" s="486">
        <f t="shared" si="21"/>
        <v>6672.2973249346051</v>
      </c>
      <c r="H40" s="455">
        <f t="shared" si="22"/>
        <v>6672.2973249346051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42240</v>
      </c>
      <c r="E41" s="484">
        <f>IF(+I14&lt;F40,I14,D41)</f>
        <v>2010</v>
      </c>
      <c r="F41" s="485">
        <f t="shared" si="20"/>
        <v>40230</v>
      </c>
      <c r="G41" s="486">
        <f t="shared" si="21"/>
        <v>6455.5967208620286</v>
      </c>
      <c r="H41" s="455">
        <f t="shared" si="22"/>
        <v>6455.5967208620286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40230</v>
      </c>
      <c r="E42" s="484">
        <f>IF(+I14&lt;F41,I14,D42)</f>
        <v>2010</v>
      </c>
      <c r="F42" s="485">
        <f t="shared" si="20"/>
        <v>38220</v>
      </c>
      <c r="G42" s="486">
        <f t="shared" si="21"/>
        <v>6238.8961167894531</v>
      </c>
      <c r="H42" s="455">
        <f t="shared" si="22"/>
        <v>6238.8961167894531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38220</v>
      </c>
      <c r="E43" s="484">
        <f>IF(+I14&lt;F42,I14,D43)</f>
        <v>2010</v>
      </c>
      <c r="F43" s="485">
        <f t="shared" si="20"/>
        <v>36210</v>
      </c>
      <c r="G43" s="486">
        <f t="shared" si="21"/>
        <v>6022.1955127168767</v>
      </c>
      <c r="H43" s="455">
        <f t="shared" si="22"/>
        <v>6022.1955127168767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36210</v>
      </c>
      <c r="E44" s="484">
        <f>IF(+I14&lt;F43,I14,D44)</f>
        <v>2010</v>
      </c>
      <c r="F44" s="485">
        <f t="shared" si="20"/>
        <v>34200</v>
      </c>
      <c r="G44" s="486">
        <f t="shared" si="21"/>
        <v>5805.4949086443003</v>
      </c>
      <c r="H44" s="455">
        <f t="shared" si="22"/>
        <v>5805.4949086443003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34200</v>
      </c>
      <c r="E45" s="484">
        <f>IF(+I14&lt;F44,I14,D45)</f>
        <v>2010</v>
      </c>
      <c r="F45" s="485">
        <f t="shared" si="20"/>
        <v>32190</v>
      </c>
      <c r="G45" s="486">
        <f t="shared" si="21"/>
        <v>5588.7943045717238</v>
      </c>
      <c r="H45" s="455">
        <f t="shared" si="22"/>
        <v>5588.7943045717238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32190</v>
      </c>
      <c r="E46" s="484">
        <f>IF(+I14&lt;F45,I14,D46)</f>
        <v>2010</v>
      </c>
      <c r="F46" s="485">
        <f t="shared" si="20"/>
        <v>30180</v>
      </c>
      <c r="G46" s="486">
        <f t="shared" si="21"/>
        <v>5372.0937004991483</v>
      </c>
      <c r="H46" s="455">
        <f t="shared" si="22"/>
        <v>5372.0937004991483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30180</v>
      </c>
      <c r="E47" s="484">
        <f>IF(+I14&lt;F46,I14,D47)</f>
        <v>2010</v>
      </c>
      <c r="F47" s="485">
        <f t="shared" si="20"/>
        <v>28170</v>
      </c>
      <c r="G47" s="486">
        <f t="shared" si="21"/>
        <v>5155.3930964265719</v>
      </c>
      <c r="H47" s="455">
        <f t="shared" si="22"/>
        <v>5155.3930964265719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28170</v>
      </c>
      <c r="E48" s="484">
        <f>IF(+I14&lt;F47,I14,D48)</f>
        <v>2010</v>
      </c>
      <c r="F48" s="485">
        <f t="shared" si="20"/>
        <v>26160</v>
      </c>
      <c r="G48" s="486">
        <f t="shared" si="21"/>
        <v>4938.6924923539955</v>
      </c>
      <c r="H48" s="455">
        <f t="shared" si="22"/>
        <v>4938.6924923539955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26160</v>
      </c>
      <c r="E49" s="484">
        <f>IF(+I14&lt;F48,I14,D49)</f>
        <v>2010</v>
      </c>
      <c r="F49" s="485">
        <f t="shared" ref="F49:F72" si="23">+D49-E49</f>
        <v>24150</v>
      </c>
      <c r="G49" s="486">
        <f t="shared" si="21"/>
        <v>4721.99188828142</v>
      </c>
      <c r="H49" s="455">
        <f t="shared" si="22"/>
        <v>4721.99188828142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3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24150</v>
      </c>
      <c r="E50" s="484">
        <f>IF(+I14&lt;F49,I14,D50)</f>
        <v>2010</v>
      </c>
      <c r="F50" s="485">
        <f t="shared" si="23"/>
        <v>22140</v>
      </c>
      <c r="G50" s="486">
        <f t="shared" si="21"/>
        <v>4505.2912842088435</v>
      </c>
      <c r="H50" s="455">
        <f t="shared" si="22"/>
        <v>4505.2912842088435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3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22140</v>
      </c>
      <c r="E51" s="484">
        <f>IF(+I14&lt;F50,I14,D51)</f>
        <v>2010</v>
      </c>
      <c r="F51" s="485">
        <f t="shared" si="23"/>
        <v>20130</v>
      </c>
      <c r="G51" s="486">
        <f t="shared" si="21"/>
        <v>4288.5906801362671</v>
      </c>
      <c r="H51" s="455">
        <f t="shared" si="22"/>
        <v>4288.5906801362671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3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20130</v>
      </c>
      <c r="E52" s="484">
        <f>IF(+I14&lt;F51,I14,D52)</f>
        <v>2010</v>
      </c>
      <c r="F52" s="485">
        <f t="shared" si="23"/>
        <v>18120</v>
      </c>
      <c r="G52" s="486">
        <f t="shared" si="21"/>
        <v>4071.8900760636911</v>
      </c>
      <c r="H52" s="455">
        <f t="shared" si="22"/>
        <v>4071.8900760636911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3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18120</v>
      </c>
      <c r="E53" s="484">
        <f>IF(+I14&lt;F52,I14,D53)</f>
        <v>2010</v>
      </c>
      <c r="F53" s="485">
        <f t="shared" si="23"/>
        <v>16110</v>
      </c>
      <c r="G53" s="486">
        <f t="shared" si="21"/>
        <v>3855.1894719911152</v>
      </c>
      <c r="H53" s="455">
        <f t="shared" si="22"/>
        <v>3855.1894719911152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3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16110</v>
      </c>
      <c r="E54" s="484">
        <f>IF(+I14&lt;F53,I14,D54)</f>
        <v>2010</v>
      </c>
      <c r="F54" s="485">
        <f t="shared" si="23"/>
        <v>14100</v>
      </c>
      <c r="G54" s="486">
        <f t="shared" si="21"/>
        <v>3638.4888679185387</v>
      </c>
      <c r="H54" s="455">
        <f t="shared" si="22"/>
        <v>3638.4888679185387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3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14100</v>
      </c>
      <c r="E55" s="484">
        <f>IF(+I14&lt;F54,I14,D55)</f>
        <v>2010</v>
      </c>
      <c r="F55" s="485">
        <f t="shared" si="23"/>
        <v>12090</v>
      </c>
      <c r="G55" s="486">
        <f t="shared" si="21"/>
        <v>3421.7882638459623</v>
      </c>
      <c r="H55" s="455">
        <f t="shared" si="22"/>
        <v>3421.7882638459623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3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12090</v>
      </c>
      <c r="E56" s="484">
        <f>IF(+I14&lt;F55,I14,D56)</f>
        <v>2010</v>
      </c>
      <c r="F56" s="485">
        <f t="shared" si="23"/>
        <v>10080</v>
      </c>
      <c r="G56" s="486">
        <f t="shared" si="21"/>
        <v>3205.0876597733863</v>
      </c>
      <c r="H56" s="455">
        <f t="shared" si="22"/>
        <v>3205.0876597733863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3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10080</v>
      </c>
      <c r="E57" s="484">
        <f>IF(+I14&lt;F56,I14,D57)</f>
        <v>2010</v>
      </c>
      <c r="F57" s="485">
        <f t="shared" si="23"/>
        <v>8070</v>
      </c>
      <c r="G57" s="486">
        <f t="shared" si="21"/>
        <v>2988.3870557008104</v>
      </c>
      <c r="H57" s="455">
        <f t="shared" si="22"/>
        <v>2988.3870557008104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3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8070</v>
      </c>
      <c r="E58" s="484">
        <f>IF(+I14&lt;F57,I14,D58)</f>
        <v>2010</v>
      </c>
      <c r="F58" s="485">
        <f t="shared" si="23"/>
        <v>6060</v>
      </c>
      <c r="G58" s="486">
        <f t="shared" si="21"/>
        <v>2771.686451628234</v>
      </c>
      <c r="H58" s="455">
        <f t="shared" si="22"/>
        <v>2771.686451628234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3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6060</v>
      </c>
      <c r="E59" s="484">
        <f>IF(+I14&lt;F58,I14,D59)</f>
        <v>2010</v>
      </c>
      <c r="F59" s="485">
        <f t="shared" si="23"/>
        <v>4050</v>
      </c>
      <c r="G59" s="486">
        <f t="shared" si="21"/>
        <v>2554.985847555658</v>
      </c>
      <c r="H59" s="455">
        <f t="shared" si="22"/>
        <v>2554.985847555658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3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4050</v>
      </c>
      <c r="E60" s="484">
        <f>IF(+I14&lt;F59,I14,D60)</f>
        <v>2010</v>
      </c>
      <c r="F60" s="485">
        <f t="shared" si="23"/>
        <v>2040</v>
      </c>
      <c r="G60" s="486">
        <f t="shared" si="21"/>
        <v>2338.285243483082</v>
      </c>
      <c r="H60" s="455">
        <f t="shared" si="22"/>
        <v>2338.285243483082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3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2040</v>
      </c>
      <c r="E61" s="484">
        <f>IF(+I14&lt;F60,I14,D61)</f>
        <v>2010</v>
      </c>
      <c r="F61" s="485">
        <f t="shared" si="23"/>
        <v>30</v>
      </c>
      <c r="G61" s="486">
        <f t="shared" si="21"/>
        <v>2121.5846394105056</v>
      </c>
      <c r="H61" s="455">
        <f t="shared" si="22"/>
        <v>2121.5846394105056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3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30</v>
      </c>
      <c r="E62" s="484">
        <f>IF(+I14&lt;F61,I14,D62)</f>
        <v>30</v>
      </c>
      <c r="F62" s="485">
        <f t="shared" si="23"/>
        <v>0</v>
      </c>
      <c r="G62" s="486">
        <f t="shared" si="21"/>
        <v>31.617168687108776</v>
      </c>
      <c r="H62" s="455">
        <f t="shared" si="22"/>
        <v>31.617168687108776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3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3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3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3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3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3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3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3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3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ref="G72" si="28">(D72+F72)/2*I$12+E72</f>
        <v>0</v>
      </c>
      <c r="H72" s="490">
        <f t="shared" ref="H72" si="29">+(D72+F72)/2*I$13+E72</f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3"/>
    </row>
    <row r="73" spans="2:16">
      <c r="C73" s="347" t="s">
        <v>77</v>
      </c>
      <c r="D73" s="348"/>
      <c r="E73" s="348">
        <f>SUM(E17:E72)</f>
        <v>84424</v>
      </c>
      <c r="F73" s="348"/>
      <c r="G73" s="348">
        <f>SUM(G17:G72)</f>
        <v>290679.08343839517</v>
      </c>
      <c r="H73" s="348">
        <f>SUM(H17:H72)</f>
        <v>290679.08343839517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7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8297.5518554789269</v>
      </c>
      <c r="N87" s="508">
        <f>IF(J92&lt;D11,0,VLOOKUP(J92,C17:O72,11))</f>
        <v>8297.5518554789269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8638.3961304237382</v>
      </c>
      <c r="N88" s="512">
        <f>IF(J92&lt;D11,0,VLOOKUP(J92,C99:P154,7))</f>
        <v>8638.3961304237382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Elk City - Elk City 69 kV line (CT Upgrades)*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340.84427494481133</v>
      </c>
      <c r="N89" s="517">
        <f>+N88-N87</f>
        <v>340.84427494481133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TP2007015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84424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2165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84424</v>
      </c>
      <c r="G99" s="537">
        <v>42212</v>
      </c>
      <c r="H99" s="538">
        <v>0</v>
      </c>
      <c r="I99" s="539">
        <v>0</v>
      </c>
      <c r="J99" s="478">
        <f t="shared" ref="J99:J130" si="30">+I99-H99</f>
        <v>0</v>
      </c>
      <c r="K99" s="478"/>
      <c r="L99" s="554">
        <v>0</v>
      </c>
      <c r="M99" s="477">
        <f t="shared" ref="M99:M130" si="31">IF(L99&lt;&gt;0,+H99-L99,0)</f>
        <v>0</v>
      </c>
      <c r="N99" s="554">
        <v>0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84424</v>
      </c>
      <c r="E100" s="480">
        <v>1593</v>
      </c>
      <c r="F100" s="479">
        <v>82831</v>
      </c>
      <c r="G100" s="479">
        <v>83628</v>
      </c>
      <c r="H100" s="480">
        <v>14877</v>
      </c>
      <c r="I100" s="481">
        <v>14877</v>
      </c>
      <c r="J100" s="478">
        <f t="shared" si="30"/>
        <v>0</v>
      </c>
      <c r="K100" s="478"/>
      <c r="L100" s="476">
        <v>14877</v>
      </c>
      <c r="M100" s="478">
        <f t="shared" si="31"/>
        <v>0</v>
      </c>
      <c r="N100" s="476">
        <v>14877</v>
      </c>
      <c r="O100" s="478">
        <f t="shared" si="32"/>
        <v>0</v>
      </c>
      <c r="P100" s="478">
        <f t="shared" si="33"/>
        <v>0</v>
      </c>
    </row>
    <row r="101" spans="1:16">
      <c r="B101" s="160" t="str">
        <f t="shared" ref="B101:B154" si="34">IF(D101=F100,"","IU")</f>
        <v/>
      </c>
      <c r="C101" s="472">
        <f>IF(D93="","-",+C100+1)</f>
        <v>2009</v>
      </c>
      <c r="D101" s="473">
        <v>82831</v>
      </c>
      <c r="E101" s="480">
        <v>1508</v>
      </c>
      <c r="F101" s="479">
        <v>81323</v>
      </c>
      <c r="G101" s="479">
        <v>82077</v>
      </c>
      <c r="H101" s="480">
        <v>13508.337143636172</v>
      </c>
      <c r="I101" s="481">
        <v>13508.337143636172</v>
      </c>
      <c r="J101" s="478">
        <f t="shared" si="30"/>
        <v>0</v>
      </c>
      <c r="K101" s="478"/>
      <c r="L101" s="540">
        <f t="shared" ref="L101:L106" si="35">H101</f>
        <v>13508.337143636172</v>
      </c>
      <c r="M101" s="541">
        <f t="shared" si="31"/>
        <v>0</v>
      </c>
      <c r="N101" s="540">
        <f t="shared" ref="N101:N106" si="36">I101</f>
        <v>13508.337143636172</v>
      </c>
      <c r="O101" s="478">
        <f t="shared" si="32"/>
        <v>0</v>
      </c>
      <c r="P101" s="478">
        <f t="shared" si="33"/>
        <v>0</v>
      </c>
    </row>
    <row r="102" spans="1:16">
      <c r="B102" s="160" t="str">
        <f t="shared" si="34"/>
        <v/>
      </c>
      <c r="C102" s="472">
        <f>IF(D93="","-",+C101+1)</f>
        <v>2010</v>
      </c>
      <c r="D102" s="473">
        <v>81323</v>
      </c>
      <c r="E102" s="480">
        <v>1655</v>
      </c>
      <c r="F102" s="479">
        <v>79668</v>
      </c>
      <c r="G102" s="479">
        <v>80495.5</v>
      </c>
      <c r="H102" s="480">
        <v>14599.901682354179</v>
      </c>
      <c r="I102" s="481">
        <v>14599.901682354179</v>
      </c>
      <c r="J102" s="478">
        <f t="shared" si="30"/>
        <v>0</v>
      </c>
      <c r="K102" s="478"/>
      <c r="L102" s="540">
        <f t="shared" si="35"/>
        <v>14599.901682354179</v>
      </c>
      <c r="M102" s="541">
        <f t="shared" si="31"/>
        <v>0</v>
      </c>
      <c r="N102" s="540">
        <f t="shared" si="36"/>
        <v>14599.901682354179</v>
      </c>
      <c r="O102" s="478">
        <f t="shared" si="32"/>
        <v>0</v>
      </c>
      <c r="P102" s="478">
        <f t="shared" si="33"/>
        <v>0</v>
      </c>
    </row>
    <row r="103" spans="1:16">
      <c r="B103" s="160" t="str">
        <f t="shared" si="34"/>
        <v/>
      </c>
      <c r="C103" s="472">
        <f>IF(D93="","-",+C102+1)</f>
        <v>2011</v>
      </c>
      <c r="D103" s="473">
        <v>79668</v>
      </c>
      <c r="E103" s="480">
        <v>1624</v>
      </c>
      <c r="F103" s="479">
        <v>78044</v>
      </c>
      <c r="G103" s="479">
        <v>78856</v>
      </c>
      <c r="H103" s="480">
        <v>12649.128461660426</v>
      </c>
      <c r="I103" s="481">
        <v>12649.128461660426</v>
      </c>
      <c r="J103" s="478">
        <f t="shared" si="30"/>
        <v>0</v>
      </c>
      <c r="K103" s="478"/>
      <c r="L103" s="540">
        <f t="shared" si="35"/>
        <v>12649.128461660426</v>
      </c>
      <c r="M103" s="541">
        <f t="shared" si="31"/>
        <v>0</v>
      </c>
      <c r="N103" s="540">
        <f t="shared" si="36"/>
        <v>12649.128461660426</v>
      </c>
      <c r="O103" s="478">
        <f t="shared" si="32"/>
        <v>0</v>
      </c>
      <c r="P103" s="478">
        <f t="shared" si="33"/>
        <v>0</v>
      </c>
    </row>
    <row r="104" spans="1:16">
      <c r="B104" s="160" t="str">
        <f t="shared" si="34"/>
        <v/>
      </c>
      <c r="C104" s="472">
        <f>IF(D93="","-",+C103+1)</f>
        <v>2012</v>
      </c>
      <c r="D104" s="473">
        <v>78044</v>
      </c>
      <c r="E104" s="480">
        <v>1624</v>
      </c>
      <c r="F104" s="479">
        <v>76420</v>
      </c>
      <c r="G104" s="479">
        <v>77232</v>
      </c>
      <c r="H104" s="480">
        <v>12734.246570183563</v>
      </c>
      <c r="I104" s="481">
        <v>12734.246570183563</v>
      </c>
      <c r="J104" s="478">
        <v>0</v>
      </c>
      <c r="K104" s="478"/>
      <c r="L104" s="540">
        <f t="shared" si="35"/>
        <v>12734.246570183563</v>
      </c>
      <c r="M104" s="541">
        <f t="shared" ref="M104:M109" si="37">IF(L104&lt;&gt;0,+H104-L104,0)</f>
        <v>0</v>
      </c>
      <c r="N104" s="540">
        <f t="shared" si="36"/>
        <v>12734.246570183563</v>
      </c>
      <c r="O104" s="478">
        <f t="shared" ref="O104:O109" si="38">IF(N104&lt;&gt;0,+I104-N104,0)</f>
        <v>0</v>
      </c>
      <c r="P104" s="478">
        <f t="shared" ref="P104:P109" si="39">+O104-M104</f>
        <v>0</v>
      </c>
    </row>
    <row r="105" spans="1:16">
      <c r="B105" s="160" t="str">
        <f t="shared" si="34"/>
        <v/>
      </c>
      <c r="C105" s="472">
        <f>IF(D93="","-",+C104+1)</f>
        <v>2013</v>
      </c>
      <c r="D105" s="473">
        <v>76420</v>
      </c>
      <c r="E105" s="480">
        <v>1624</v>
      </c>
      <c r="F105" s="479">
        <v>74796</v>
      </c>
      <c r="G105" s="479">
        <v>75608</v>
      </c>
      <c r="H105" s="480">
        <v>12506.984818583547</v>
      </c>
      <c r="I105" s="481">
        <v>12506.984818583547</v>
      </c>
      <c r="J105" s="478">
        <v>0</v>
      </c>
      <c r="K105" s="478"/>
      <c r="L105" s="540">
        <f t="shared" si="35"/>
        <v>12506.984818583547</v>
      </c>
      <c r="M105" s="541">
        <f t="shared" si="37"/>
        <v>0</v>
      </c>
      <c r="N105" s="540">
        <f t="shared" si="36"/>
        <v>12506.984818583547</v>
      </c>
      <c r="O105" s="478">
        <f t="shared" si="38"/>
        <v>0</v>
      </c>
      <c r="P105" s="478">
        <f t="shared" si="39"/>
        <v>0</v>
      </c>
    </row>
    <row r="106" spans="1:16">
      <c r="B106" s="160" t="str">
        <f t="shared" si="34"/>
        <v/>
      </c>
      <c r="C106" s="472">
        <f>IF(D93="","-",+C105+1)</f>
        <v>2014</v>
      </c>
      <c r="D106" s="473">
        <v>74796</v>
      </c>
      <c r="E106" s="480">
        <v>1624</v>
      </c>
      <c r="F106" s="479">
        <v>73172</v>
      </c>
      <c r="G106" s="479">
        <v>73984</v>
      </c>
      <c r="H106" s="480">
        <v>12025.847971361507</v>
      </c>
      <c r="I106" s="481">
        <v>12025.847971361507</v>
      </c>
      <c r="J106" s="478">
        <v>0</v>
      </c>
      <c r="K106" s="478"/>
      <c r="L106" s="540">
        <f t="shared" si="35"/>
        <v>12025.847971361507</v>
      </c>
      <c r="M106" s="541">
        <f t="shared" si="37"/>
        <v>0</v>
      </c>
      <c r="N106" s="540">
        <f t="shared" si="36"/>
        <v>12025.847971361507</v>
      </c>
      <c r="O106" s="478">
        <f t="shared" si="38"/>
        <v>0</v>
      </c>
      <c r="P106" s="478">
        <f t="shared" si="39"/>
        <v>0</v>
      </c>
    </row>
    <row r="107" spans="1:16">
      <c r="B107" s="160" t="str">
        <f t="shared" si="34"/>
        <v/>
      </c>
      <c r="C107" s="472">
        <f>IF(D93="","-",+C106+1)</f>
        <v>2015</v>
      </c>
      <c r="D107" s="473">
        <v>73172</v>
      </c>
      <c r="E107" s="480">
        <v>1624</v>
      </c>
      <c r="F107" s="479">
        <v>71548</v>
      </c>
      <c r="G107" s="479">
        <v>72360</v>
      </c>
      <c r="H107" s="480">
        <v>11496.940196929139</v>
      </c>
      <c r="I107" s="481">
        <v>11496.940196929139</v>
      </c>
      <c r="J107" s="478">
        <f t="shared" si="30"/>
        <v>0</v>
      </c>
      <c r="K107" s="478"/>
      <c r="L107" s="540">
        <f t="shared" ref="L107:L112" si="40">H107</f>
        <v>11496.940196929139</v>
      </c>
      <c r="M107" s="541">
        <f t="shared" si="37"/>
        <v>0</v>
      </c>
      <c r="N107" s="540">
        <f t="shared" ref="N107:N112" si="41">I107</f>
        <v>11496.940196929139</v>
      </c>
      <c r="O107" s="478">
        <f t="shared" si="38"/>
        <v>0</v>
      </c>
      <c r="P107" s="478">
        <f t="shared" si="39"/>
        <v>0</v>
      </c>
    </row>
    <row r="108" spans="1:16">
      <c r="B108" s="160" t="str">
        <f t="shared" si="34"/>
        <v/>
      </c>
      <c r="C108" s="472">
        <f>IF(D93="","-",+C107+1)</f>
        <v>2016</v>
      </c>
      <c r="D108" s="473">
        <v>71548</v>
      </c>
      <c r="E108" s="480">
        <v>1835</v>
      </c>
      <c r="F108" s="479">
        <v>69713</v>
      </c>
      <c r="G108" s="479">
        <v>70630.5</v>
      </c>
      <c r="H108" s="480">
        <v>10940.383800869789</v>
      </c>
      <c r="I108" s="481">
        <v>10940.383800869789</v>
      </c>
      <c r="J108" s="478">
        <f t="shared" si="30"/>
        <v>0</v>
      </c>
      <c r="K108" s="478"/>
      <c r="L108" s="540">
        <f t="shared" si="40"/>
        <v>10940.383800869789</v>
      </c>
      <c r="M108" s="541">
        <f t="shared" si="37"/>
        <v>0</v>
      </c>
      <c r="N108" s="540">
        <f t="shared" si="41"/>
        <v>10940.383800869789</v>
      </c>
      <c r="O108" s="478">
        <f t="shared" si="38"/>
        <v>0</v>
      </c>
      <c r="P108" s="478">
        <f t="shared" si="39"/>
        <v>0</v>
      </c>
    </row>
    <row r="109" spans="1:16">
      <c r="B109" s="160" t="str">
        <f t="shared" si="34"/>
        <v/>
      </c>
      <c r="C109" s="472">
        <f>IF(D93="","-",+C108+1)</f>
        <v>2017</v>
      </c>
      <c r="D109" s="473">
        <v>69713</v>
      </c>
      <c r="E109" s="480">
        <v>1835</v>
      </c>
      <c r="F109" s="479">
        <v>67878</v>
      </c>
      <c r="G109" s="479">
        <v>68795.5</v>
      </c>
      <c r="H109" s="480">
        <v>10561.882642914878</v>
      </c>
      <c r="I109" s="481">
        <v>10561.882642914878</v>
      </c>
      <c r="J109" s="478">
        <f t="shared" si="30"/>
        <v>0</v>
      </c>
      <c r="K109" s="478"/>
      <c r="L109" s="540">
        <f t="shared" si="40"/>
        <v>10561.882642914878</v>
      </c>
      <c r="M109" s="541">
        <f t="shared" si="37"/>
        <v>0</v>
      </c>
      <c r="N109" s="540">
        <f t="shared" si="41"/>
        <v>10561.882642914878</v>
      </c>
      <c r="O109" s="478">
        <f t="shared" si="38"/>
        <v>0</v>
      </c>
      <c r="P109" s="478">
        <f t="shared" si="39"/>
        <v>0</v>
      </c>
    </row>
    <row r="110" spans="1:16">
      <c r="B110" s="160" t="str">
        <f t="shared" si="34"/>
        <v/>
      </c>
      <c r="C110" s="472">
        <f>IF(D93="","-",+C109+1)</f>
        <v>2018</v>
      </c>
      <c r="D110" s="473">
        <v>67878</v>
      </c>
      <c r="E110" s="480">
        <v>1963</v>
      </c>
      <c r="F110" s="479">
        <v>65915</v>
      </c>
      <c r="G110" s="479">
        <v>66896.5</v>
      </c>
      <c r="H110" s="480">
        <v>8835.6498462369182</v>
      </c>
      <c r="I110" s="481">
        <v>8835.6498462369182</v>
      </c>
      <c r="J110" s="478">
        <f t="shared" si="30"/>
        <v>0</v>
      </c>
      <c r="K110" s="478"/>
      <c r="L110" s="540">
        <f t="shared" si="40"/>
        <v>8835.6498462369182</v>
      </c>
      <c r="M110" s="541">
        <f t="shared" ref="M110" si="42">IF(L110&lt;&gt;0,+H110-L110,0)</f>
        <v>0</v>
      </c>
      <c r="N110" s="540">
        <f t="shared" si="41"/>
        <v>8835.6498462369182</v>
      </c>
      <c r="O110" s="478">
        <f t="shared" ref="O110" si="43">IF(N110&lt;&gt;0,+I110-N110,0)</f>
        <v>0</v>
      </c>
      <c r="P110" s="478">
        <f t="shared" ref="P110" si="44">+O110-M110</f>
        <v>0</v>
      </c>
    </row>
    <row r="111" spans="1:16">
      <c r="B111" s="160" t="str">
        <f t="shared" si="34"/>
        <v/>
      </c>
      <c r="C111" s="472">
        <f>IF(D93="","-",+C110+1)</f>
        <v>2019</v>
      </c>
      <c r="D111" s="473">
        <v>65915</v>
      </c>
      <c r="E111" s="480">
        <v>2059</v>
      </c>
      <c r="F111" s="479">
        <v>63856</v>
      </c>
      <c r="G111" s="479">
        <v>64885.5</v>
      </c>
      <c r="H111" s="480">
        <v>8749.6051392547379</v>
      </c>
      <c r="I111" s="481">
        <v>8749.6051392547379</v>
      </c>
      <c r="J111" s="478">
        <f t="shared" si="30"/>
        <v>0</v>
      </c>
      <c r="K111" s="478"/>
      <c r="L111" s="540">
        <f t="shared" si="40"/>
        <v>8749.6051392547379</v>
      </c>
      <c r="M111" s="541">
        <f t="shared" ref="M111" si="45">IF(L111&lt;&gt;0,+H111-L111,0)</f>
        <v>0</v>
      </c>
      <c r="N111" s="540">
        <f t="shared" si="41"/>
        <v>8749.6051392547379</v>
      </c>
      <c r="O111" s="478">
        <f t="shared" si="32"/>
        <v>0</v>
      </c>
      <c r="P111" s="478">
        <f t="shared" si="33"/>
        <v>0</v>
      </c>
    </row>
    <row r="112" spans="1:16">
      <c r="B112" s="160" t="str">
        <f t="shared" si="34"/>
        <v/>
      </c>
      <c r="C112" s="472">
        <f>IF(D93="","-",+C111+1)</f>
        <v>2020</v>
      </c>
      <c r="D112" s="473">
        <v>63856</v>
      </c>
      <c r="E112" s="480">
        <v>1963</v>
      </c>
      <c r="F112" s="479">
        <v>61893</v>
      </c>
      <c r="G112" s="479">
        <v>62874.5</v>
      </c>
      <c r="H112" s="480">
        <v>9212.2569908153564</v>
      </c>
      <c r="I112" s="481">
        <v>9212.2569908153564</v>
      </c>
      <c r="J112" s="478">
        <f t="shared" si="30"/>
        <v>0</v>
      </c>
      <c r="K112" s="478"/>
      <c r="L112" s="540">
        <f t="shared" si="40"/>
        <v>9212.2569908153564</v>
      </c>
      <c r="M112" s="541">
        <f t="shared" ref="M112" si="46">IF(L112&lt;&gt;0,+H112-L112,0)</f>
        <v>0</v>
      </c>
      <c r="N112" s="540">
        <f t="shared" si="41"/>
        <v>9212.2569908153564</v>
      </c>
      <c r="O112" s="478">
        <f t="shared" si="32"/>
        <v>0</v>
      </c>
      <c r="P112" s="478">
        <f t="shared" si="33"/>
        <v>0</v>
      </c>
    </row>
    <row r="113" spans="2:16">
      <c r="B113" s="160" t="str">
        <f t="shared" si="34"/>
        <v/>
      </c>
      <c r="C113" s="472">
        <f>IF(D93="","-",+C112+1)</f>
        <v>2021</v>
      </c>
      <c r="D113" s="473">
        <v>61893</v>
      </c>
      <c r="E113" s="480">
        <v>2059</v>
      </c>
      <c r="F113" s="479">
        <v>59834</v>
      </c>
      <c r="G113" s="479">
        <v>60863.5</v>
      </c>
      <c r="H113" s="480">
        <v>8984.8276586704978</v>
      </c>
      <c r="I113" s="481">
        <v>8984.8276586704978</v>
      </c>
      <c r="J113" s="478">
        <f t="shared" si="30"/>
        <v>0</v>
      </c>
      <c r="K113" s="478"/>
      <c r="L113" s="540">
        <f t="shared" ref="L113" si="47">H113</f>
        <v>8984.8276586704978</v>
      </c>
      <c r="M113" s="541">
        <f t="shared" ref="M113" si="48">IF(L113&lt;&gt;0,+H113-L113,0)</f>
        <v>0</v>
      </c>
      <c r="N113" s="540">
        <f t="shared" ref="N113" si="49">I113</f>
        <v>8984.8276586704978</v>
      </c>
      <c r="O113" s="478">
        <f t="shared" si="32"/>
        <v>0</v>
      </c>
      <c r="P113" s="478">
        <f t="shared" si="33"/>
        <v>0</v>
      </c>
    </row>
    <row r="114" spans="2:16">
      <c r="B114" s="160" t="str">
        <f t="shared" si="34"/>
        <v/>
      </c>
      <c r="C114" s="472">
        <f>IF(D93="","-",+C113+1)</f>
        <v>2022</v>
      </c>
      <c r="D114" s="347">
        <f>IF(F113+SUM(E$99:E113)=D$92,F113,D$92-SUM(E$99:E113))</f>
        <v>59834</v>
      </c>
      <c r="E114" s="486">
        <f>IF(+J96&lt;F113,J96,D114)</f>
        <v>2165</v>
      </c>
      <c r="F114" s="485">
        <f t="shared" ref="F114:F129" si="50">+D114-E114</f>
        <v>57669</v>
      </c>
      <c r="G114" s="485">
        <f t="shared" ref="G114:G129" si="51">+(F114+D114)/2</f>
        <v>58751.5</v>
      </c>
      <c r="H114" s="486">
        <f t="shared" ref="H114:H153" si="52">(D114+F114)/2*J$94+E114</f>
        <v>8638.3961304237382</v>
      </c>
      <c r="I114" s="542">
        <f t="shared" ref="I114:I153" si="53">+J$95*G114+E114</f>
        <v>8638.3961304237382</v>
      </c>
      <c r="J114" s="478">
        <f t="shared" si="30"/>
        <v>0</v>
      </c>
      <c r="K114" s="478"/>
      <c r="L114" s="487"/>
      <c r="M114" s="478">
        <f t="shared" si="31"/>
        <v>0</v>
      </c>
      <c r="N114" s="487"/>
      <c r="O114" s="478">
        <f t="shared" si="32"/>
        <v>0</v>
      </c>
      <c r="P114" s="478">
        <f t="shared" si="33"/>
        <v>0</v>
      </c>
    </row>
    <row r="115" spans="2:16">
      <c r="B115" s="160" t="str">
        <f t="shared" si="34"/>
        <v/>
      </c>
      <c r="C115" s="472">
        <f>IF(D93="","-",+C114+1)</f>
        <v>2023</v>
      </c>
      <c r="D115" s="347">
        <f>IF(F114+SUM(E$99:E114)=D$92,F114,D$92-SUM(E$99:E114))</f>
        <v>57669</v>
      </c>
      <c r="E115" s="486">
        <f>IF(+J96&lt;F114,J96,D115)</f>
        <v>2165</v>
      </c>
      <c r="F115" s="485">
        <f t="shared" si="50"/>
        <v>55504</v>
      </c>
      <c r="G115" s="485">
        <f t="shared" si="51"/>
        <v>56586.5</v>
      </c>
      <c r="H115" s="486">
        <f t="shared" si="52"/>
        <v>8399.850686947957</v>
      </c>
      <c r="I115" s="542">
        <f t="shared" si="53"/>
        <v>8399.850686947957</v>
      </c>
      <c r="J115" s="478">
        <f t="shared" si="30"/>
        <v>0</v>
      </c>
      <c r="K115" s="478"/>
      <c r="L115" s="487"/>
      <c r="M115" s="478">
        <f t="shared" si="31"/>
        <v>0</v>
      </c>
      <c r="N115" s="487"/>
      <c r="O115" s="478">
        <f t="shared" si="32"/>
        <v>0</v>
      </c>
      <c r="P115" s="478">
        <f t="shared" si="33"/>
        <v>0</v>
      </c>
    </row>
    <row r="116" spans="2:16">
      <c r="B116" s="160" t="str">
        <f t="shared" si="34"/>
        <v/>
      </c>
      <c r="C116" s="472">
        <f>IF(D93="","-",+C115+1)</f>
        <v>2024</v>
      </c>
      <c r="D116" s="347">
        <f>IF(F115+SUM(E$99:E115)=D$92,F115,D$92-SUM(E$99:E115))</f>
        <v>55504</v>
      </c>
      <c r="E116" s="486">
        <f>IF(+J96&lt;F115,J96,D116)</f>
        <v>2165</v>
      </c>
      <c r="F116" s="485">
        <f t="shared" si="50"/>
        <v>53339</v>
      </c>
      <c r="G116" s="485">
        <f t="shared" si="51"/>
        <v>54421.5</v>
      </c>
      <c r="H116" s="486">
        <f t="shared" si="52"/>
        <v>8161.3052434721749</v>
      </c>
      <c r="I116" s="542">
        <f t="shared" si="53"/>
        <v>8161.3052434721749</v>
      </c>
      <c r="J116" s="478">
        <f t="shared" si="30"/>
        <v>0</v>
      </c>
      <c r="K116" s="478"/>
      <c r="L116" s="487"/>
      <c r="M116" s="478">
        <f t="shared" si="31"/>
        <v>0</v>
      </c>
      <c r="N116" s="487"/>
      <c r="O116" s="478">
        <f t="shared" si="32"/>
        <v>0</v>
      </c>
      <c r="P116" s="478">
        <f t="shared" si="33"/>
        <v>0</v>
      </c>
    </row>
    <row r="117" spans="2:16">
      <c r="B117" s="160" t="str">
        <f t="shared" si="34"/>
        <v/>
      </c>
      <c r="C117" s="472">
        <f>IF(D93="","-",+C116+1)</f>
        <v>2025</v>
      </c>
      <c r="D117" s="347">
        <f>IF(F116+SUM(E$99:E116)=D$92,F116,D$92-SUM(E$99:E116))</f>
        <v>53339</v>
      </c>
      <c r="E117" s="486">
        <f>IF(+J96&lt;F116,J96,D117)</f>
        <v>2165</v>
      </c>
      <c r="F117" s="485">
        <f t="shared" si="50"/>
        <v>51174</v>
      </c>
      <c r="G117" s="485">
        <f t="shared" si="51"/>
        <v>52256.5</v>
      </c>
      <c r="H117" s="486">
        <f t="shared" si="52"/>
        <v>7922.7597999963928</v>
      </c>
      <c r="I117" s="542">
        <f t="shared" si="53"/>
        <v>7922.7597999963928</v>
      </c>
      <c r="J117" s="478">
        <f t="shared" si="30"/>
        <v>0</v>
      </c>
      <c r="K117" s="478"/>
      <c r="L117" s="487"/>
      <c r="M117" s="478">
        <f t="shared" si="31"/>
        <v>0</v>
      </c>
      <c r="N117" s="487"/>
      <c r="O117" s="478">
        <f t="shared" si="32"/>
        <v>0</v>
      </c>
      <c r="P117" s="478">
        <f t="shared" si="33"/>
        <v>0</v>
      </c>
    </row>
    <row r="118" spans="2:16">
      <c r="B118" s="160" t="str">
        <f t="shared" si="34"/>
        <v/>
      </c>
      <c r="C118" s="472">
        <f>IF(D93="","-",+C117+1)</f>
        <v>2026</v>
      </c>
      <c r="D118" s="347">
        <f>IF(F117+SUM(E$99:E117)=D$92,F117,D$92-SUM(E$99:E117))</f>
        <v>51174</v>
      </c>
      <c r="E118" s="486">
        <f>IF(+J96&lt;F117,J96,D118)</f>
        <v>2165</v>
      </c>
      <c r="F118" s="485">
        <f t="shared" si="50"/>
        <v>49009</v>
      </c>
      <c r="G118" s="485">
        <f t="shared" si="51"/>
        <v>50091.5</v>
      </c>
      <c r="H118" s="486">
        <f t="shared" si="52"/>
        <v>7684.2143565206106</v>
      </c>
      <c r="I118" s="542">
        <f t="shared" si="53"/>
        <v>7684.2143565206106</v>
      </c>
      <c r="J118" s="478">
        <f t="shared" si="30"/>
        <v>0</v>
      </c>
      <c r="K118" s="478"/>
      <c r="L118" s="487"/>
      <c r="M118" s="478">
        <f t="shared" si="31"/>
        <v>0</v>
      </c>
      <c r="N118" s="487"/>
      <c r="O118" s="478">
        <f t="shared" si="32"/>
        <v>0</v>
      </c>
      <c r="P118" s="478">
        <f t="shared" si="33"/>
        <v>0</v>
      </c>
    </row>
    <row r="119" spans="2:16">
      <c r="B119" s="160" t="str">
        <f t="shared" si="34"/>
        <v/>
      </c>
      <c r="C119" s="472">
        <f>IF(D93="","-",+C118+1)</f>
        <v>2027</v>
      </c>
      <c r="D119" s="347">
        <f>IF(F118+SUM(E$99:E118)=D$92,F118,D$92-SUM(E$99:E118))</f>
        <v>49009</v>
      </c>
      <c r="E119" s="486">
        <f>IF(+J96&lt;F118,J96,D119)</f>
        <v>2165</v>
      </c>
      <c r="F119" s="485">
        <f t="shared" si="50"/>
        <v>46844</v>
      </c>
      <c r="G119" s="485">
        <f t="shared" si="51"/>
        <v>47926.5</v>
      </c>
      <c r="H119" s="486">
        <f t="shared" si="52"/>
        <v>7445.6689130448294</v>
      </c>
      <c r="I119" s="542">
        <f t="shared" si="53"/>
        <v>7445.6689130448294</v>
      </c>
      <c r="J119" s="478">
        <f t="shared" si="30"/>
        <v>0</v>
      </c>
      <c r="K119" s="478"/>
      <c r="L119" s="487"/>
      <c r="M119" s="478">
        <f t="shared" si="31"/>
        <v>0</v>
      </c>
      <c r="N119" s="487"/>
      <c r="O119" s="478">
        <f t="shared" si="32"/>
        <v>0</v>
      </c>
      <c r="P119" s="478">
        <f t="shared" si="33"/>
        <v>0</v>
      </c>
    </row>
    <row r="120" spans="2:16">
      <c r="B120" s="160" t="str">
        <f t="shared" si="34"/>
        <v/>
      </c>
      <c r="C120" s="472">
        <f>IF(D93="","-",+C119+1)</f>
        <v>2028</v>
      </c>
      <c r="D120" s="347">
        <f>IF(F119+SUM(E$99:E119)=D$92,F119,D$92-SUM(E$99:E119))</f>
        <v>46844</v>
      </c>
      <c r="E120" s="486">
        <f>IF(+J96&lt;F119,J96,D120)</f>
        <v>2165</v>
      </c>
      <c r="F120" s="485">
        <f t="shared" si="50"/>
        <v>44679</v>
      </c>
      <c r="G120" s="485">
        <f t="shared" si="51"/>
        <v>45761.5</v>
      </c>
      <c r="H120" s="486">
        <f t="shared" si="52"/>
        <v>7207.1234695690473</v>
      </c>
      <c r="I120" s="542">
        <f t="shared" si="53"/>
        <v>7207.1234695690473</v>
      </c>
      <c r="J120" s="478">
        <f t="shared" si="30"/>
        <v>0</v>
      </c>
      <c r="K120" s="478"/>
      <c r="L120" s="487"/>
      <c r="M120" s="478">
        <f t="shared" si="31"/>
        <v>0</v>
      </c>
      <c r="N120" s="487"/>
      <c r="O120" s="478">
        <f t="shared" si="32"/>
        <v>0</v>
      </c>
      <c r="P120" s="478">
        <f t="shared" si="33"/>
        <v>0</v>
      </c>
    </row>
    <row r="121" spans="2:16">
      <c r="B121" s="160" t="str">
        <f t="shared" si="34"/>
        <v/>
      </c>
      <c r="C121" s="472">
        <f>IF(D93="","-",+C120+1)</f>
        <v>2029</v>
      </c>
      <c r="D121" s="347">
        <f>IF(F120+SUM(E$99:E120)=D$92,F120,D$92-SUM(E$99:E120))</f>
        <v>44679</v>
      </c>
      <c r="E121" s="486">
        <f>IF(+J96&lt;F120,J96,D121)</f>
        <v>2165</v>
      </c>
      <c r="F121" s="485">
        <f t="shared" si="50"/>
        <v>42514</v>
      </c>
      <c r="G121" s="485">
        <f t="shared" si="51"/>
        <v>43596.5</v>
      </c>
      <c r="H121" s="486">
        <f t="shared" si="52"/>
        <v>6968.5780260932661</v>
      </c>
      <c r="I121" s="542">
        <f t="shared" si="53"/>
        <v>6968.5780260932661</v>
      </c>
      <c r="J121" s="478">
        <f t="shared" si="30"/>
        <v>0</v>
      </c>
      <c r="K121" s="478"/>
      <c r="L121" s="487"/>
      <c r="M121" s="478">
        <f t="shared" si="31"/>
        <v>0</v>
      </c>
      <c r="N121" s="487"/>
      <c r="O121" s="478">
        <f t="shared" si="32"/>
        <v>0</v>
      </c>
      <c r="P121" s="478">
        <f t="shared" si="33"/>
        <v>0</v>
      </c>
    </row>
    <row r="122" spans="2:16">
      <c r="B122" s="160" t="str">
        <f t="shared" si="34"/>
        <v/>
      </c>
      <c r="C122" s="472">
        <f>IF(D93="","-",+C121+1)</f>
        <v>2030</v>
      </c>
      <c r="D122" s="347">
        <f>IF(F121+SUM(E$99:E121)=D$92,F121,D$92-SUM(E$99:E121))</f>
        <v>42514</v>
      </c>
      <c r="E122" s="486">
        <f>IF(+J96&lt;F121,J96,D122)</f>
        <v>2165</v>
      </c>
      <c r="F122" s="485">
        <f t="shared" si="50"/>
        <v>40349</v>
      </c>
      <c r="G122" s="485">
        <f t="shared" si="51"/>
        <v>41431.5</v>
      </c>
      <c r="H122" s="486">
        <f t="shared" si="52"/>
        <v>6730.032582617484</v>
      </c>
      <c r="I122" s="542">
        <f t="shared" si="53"/>
        <v>6730.032582617484</v>
      </c>
      <c r="J122" s="478">
        <f t="shared" si="30"/>
        <v>0</v>
      </c>
      <c r="K122" s="478"/>
      <c r="L122" s="487"/>
      <c r="M122" s="478">
        <f t="shared" si="31"/>
        <v>0</v>
      </c>
      <c r="N122" s="487"/>
      <c r="O122" s="478">
        <f t="shared" si="32"/>
        <v>0</v>
      </c>
      <c r="P122" s="478">
        <f t="shared" si="33"/>
        <v>0</v>
      </c>
    </row>
    <row r="123" spans="2:16">
      <c r="B123" s="160" t="str">
        <f t="shared" si="34"/>
        <v/>
      </c>
      <c r="C123" s="472">
        <f>IF(D93="","-",+C122+1)</f>
        <v>2031</v>
      </c>
      <c r="D123" s="347">
        <f>IF(F122+SUM(E$99:E122)=D$92,F122,D$92-SUM(E$99:E122))</f>
        <v>40349</v>
      </c>
      <c r="E123" s="486">
        <f>IF(+J96&lt;F122,J96,D123)</f>
        <v>2165</v>
      </c>
      <c r="F123" s="485">
        <f t="shared" si="50"/>
        <v>38184</v>
      </c>
      <c r="G123" s="485">
        <f t="shared" si="51"/>
        <v>39266.5</v>
      </c>
      <c r="H123" s="486">
        <f t="shared" si="52"/>
        <v>6491.4871391417018</v>
      </c>
      <c r="I123" s="542">
        <f t="shared" si="53"/>
        <v>6491.4871391417018</v>
      </c>
      <c r="J123" s="478">
        <f t="shared" si="30"/>
        <v>0</v>
      </c>
      <c r="K123" s="478"/>
      <c r="L123" s="487"/>
      <c r="M123" s="478">
        <f t="shared" si="31"/>
        <v>0</v>
      </c>
      <c r="N123" s="487"/>
      <c r="O123" s="478">
        <f t="shared" si="32"/>
        <v>0</v>
      </c>
      <c r="P123" s="478">
        <f t="shared" si="33"/>
        <v>0</v>
      </c>
    </row>
    <row r="124" spans="2:16">
      <c r="B124" s="160" t="str">
        <f t="shared" si="34"/>
        <v/>
      </c>
      <c r="C124" s="472">
        <f>IF(D93="","-",+C123+1)</f>
        <v>2032</v>
      </c>
      <c r="D124" s="347">
        <f>IF(F123+SUM(E$99:E123)=D$92,F123,D$92-SUM(E$99:E123))</f>
        <v>38184</v>
      </c>
      <c r="E124" s="486">
        <f>IF(+J96&lt;F123,J96,D124)</f>
        <v>2165</v>
      </c>
      <c r="F124" s="485">
        <f t="shared" si="50"/>
        <v>36019</v>
      </c>
      <c r="G124" s="485">
        <f t="shared" si="51"/>
        <v>37101.5</v>
      </c>
      <c r="H124" s="486">
        <f t="shared" si="52"/>
        <v>6252.9416956659206</v>
      </c>
      <c r="I124" s="542">
        <f t="shared" si="53"/>
        <v>6252.9416956659206</v>
      </c>
      <c r="J124" s="478">
        <f t="shared" si="30"/>
        <v>0</v>
      </c>
      <c r="K124" s="478"/>
      <c r="L124" s="487"/>
      <c r="M124" s="478">
        <f t="shared" si="31"/>
        <v>0</v>
      </c>
      <c r="N124" s="487"/>
      <c r="O124" s="478">
        <f t="shared" si="32"/>
        <v>0</v>
      </c>
      <c r="P124" s="478">
        <f t="shared" si="33"/>
        <v>0</v>
      </c>
    </row>
    <row r="125" spans="2:16">
      <c r="B125" s="160" t="str">
        <f t="shared" si="34"/>
        <v/>
      </c>
      <c r="C125" s="472">
        <f>IF(D93="","-",+C124+1)</f>
        <v>2033</v>
      </c>
      <c r="D125" s="347">
        <f>IF(F124+SUM(E$99:E124)=D$92,F124,D$92-SUM(E$99:E124))</f>
        <v>36019</v>
      </c>
      <c r="E125" s="486">
        <f>IF(+J96&lt;F124,J96,D125)</f>
        <v>2165</v>
      </c>
      <c r="F125" s="485">
        <f t="shared" si="50"/>
        <v>33854</v>
      </c>
      <c r="G125" s="485">
        <f t="shared" si="51"/>
        <v>34936.5</v>
      </c>
      <c r="H125" s="486">
        <f t="shared" si="52"/>
        <v>6014.3962521901385</v>
      </c>
      <c r="I125" s="542">
        <f t="shared" si="53"/>
        <v>6014.3962521901385</v>
      </c>
      <c r="J125" s="478">
        <f t="shared" si="30"/>
        <v>0</v>
      </c>
      <c r="K125" s="478"/>
      <c r="L125" s="487"/>
      <c r="M125" s="478">
        <f t="shared" si="31"/>
        <v>0</v>
      </c>
      <c r="N125" s="487"/>
      <c r="O125" s="478">
        <f t="shared" si="32"/>
        <v>0</v>
      </c>
      <c r="P125" s="478">
        <f t="shared" si="33"/>
        <v>0</v>
      </c>
    </row>
    <row r="126" spans="2:16">
      <c r="B126" s="160" t="str">
        <f t="shared" si="34"/>
        <v/>
      </c>
      <c r="C126" s="472">
        <f>IF(D93="","-",+C125+1)</f>
        <v>2034</v>
      </c>
      <c r="D126" s="347">
        <f>IF(F125+SUM(E$99:E125)=D$92,F125,D$92-SUM(E$99:E125))</f>
        <v>33854</v>
      </c>
      <c r="E126" s="486">
        <f>IF(+J96&lt;F125,J96,D126)</f>
        <v>2165</v>
      </c>
      <c r="F126" s="485">
        <f t="shared" si="50"/>
        <v>31689</v>
      </c>
      <c r="G126" s="485">
        <f t="shared" si="51"/>
        <v>32771.5</v>
      </c>
      <c r="H126" s="486">
        <f t="shared" si="52"/>
        <v>5775.8508087143564</v>
      </c>
      <c r="I126" s="542">
        <f t="shared" si="53"/>
        <v>5775.8508087143564</v>
      </c>
      <c r="J126" s="478">
        <f t="shared" si="30"/>
        <v>0</v>
      </c>
      <c r="K126" s="478"/>
      <c r="L126" s="487"/>
      <c r="M126" s="478">
        <f t="shared" si="31"/>
        <v>0</v>
      </c>
      <c r="N126" s="487"/>
      <c r="O126" s="478">
        <f t="shared" si="32"/>
        <v>0</v>
      </c>
      <c r="P126" s="478">
        <f t="shared" si="33"/>
        <v>0</v>
      </c>
    </row>
    <row r="127" spans="2:16">
      <c r="B127" s="160" t="str">
        <f t="shared" si="34"/>
        <v/>
      </c>
      <c r="C127" s="472">
        <f>IF(D93="","-",+C126+1)</f>
        <v>2035</v>
      </c>
      <c r="D127" s="347">
        <f>IF(F126+SUM(E$99:E126)=D$92,F126,D$92-SUM(E$99:E126))</f>
        <v>31689</v>
      </c>
      <c r="E127" s="486">
        <f>IF(+J96&lt;F126,J96,D127)</f>
        <v>2165</v>
      </c>
      <c r="F127" s="485">
        <f t="shared" si="50"/>
        <v>29524</v>
      </c>
      <c r="G127" s="485">
        <f t="shared" si="51"/>
        <v>30606.5</v>
      </c>
      <c r="H127" s="486">
        <f t="shared" si="52"/>
        <v>5537.3053652385752</v>
      </c>
      <c r="I127" s="542">
        <f t="shared" si="53"/>
        <v>5537.3053652385752</v>
      </c>
      <c r="J127" s="478">
        <f t="shared" si="30"/>
        <v>0</v>
      </c>
      <c r="K127" s="478"/>
      <c r="L127" s="487"/>
      <c r="M127" s="478">
        <f t="shared" si="31"/>
        <v>0</v>
      </c>
      <c r="N127" s="487"/>
      <c r="O127" s="478">
        <f t="shared" si="32"/>
        <v>0</v>
      </c>
      <c r="P127" s="478">
        <f t="shared" si="33"/>
        <v>0</v>
      </c>
    </row>
    <row r="128" spans="2:16">
      <c r="B128" s="160" t="str">
        <f t="shared" si="34"/>
        <v/>
      </c>
      <c r="C128" s="472">
        <f>IF(D93="","-",+C127+1)</f>
        <v>2036</v>
      </c>
      <c r="D128" s="347">
        <f>IF(F127+SUM(E$99:E127)=D$92,F127,D$92-SUM(E$99:E127))</f>
        <v>29524</v>
      </c>
      <c r="E128" s="486">
        <f>IF(+J96&lt;F127,J96,D128)</f>
        <v>2165</v>
      </c>
      <c r="F128" s="485">
        <f t="shared" si="50"/>
        <v>27359</v>
      </c>
      <c r="G128" s="485">
        <f t="shared" si="51"/>
        <v>28441.5</v>
      </c>
      <c r="H128" s="486">
        <f t="shared" si="52"/>
        <v>5298.7599217627931</v>
      </c>
      <c r="I128" s="542">
        <f t="shared" si="53"/>
        <v>5298.7599217627931</v>
      </c>
      <c r="J128" s="478">
        <f t="shared" si="30"/>
        <v>0</v>
      </c>
      <c r="K128" s="478"/>
      <c r="L128" s="487"/>
      <c r="M128" s="478">
        <f t="shared" si="31"/>
        <v>0</v>
      </c>
      <c r="N128" s="487"/>
      <c r="O128" s="478">
        <f t="shared" si="32"/>
        <v>0</v>
      </c>
      <c r="P128" s="478">
        <f t="shared" si="33"/>
        <v>0</v>
      </c>
    </row>
    <row r="129" spans="2:16">
      <c r="B129" s="160" t="str">
        <f t="shared" si="34"/>
        <v/>
      </c>
      <c r="C129" s="472">
        <f>IF(D93="","-",+C128+1)</f>
        <v>2037</v>
      </c>
      <c r="D129" s="347">
        <f>IF(F128+SUM(E$99:E128)=D$92,F128,D$92-SUM(E$99:E128))</f>
        <v>27359</v>
      </c>
      <c r="E129" s="486">
        <f>IF(+J96&lt;F128,J96,D129)</f>
        <v>2165</v>
      </c>
      <c r="F129" s="485">
        <f t="shared" si="50"/>
        <v>25194</v>
      </c>
      <c r="G129" s="485">
        <f t="shared" si="51"/>
        <v>26276.5</v>
      </c>
      <c r="H129" s="486">
        <f t="shared" si="52"/>
        <v>5060.2144782870109</v>
      </c>
      <c r="I129" s="542">
        <f t="shared" si="53"/>
        <v>5060.2144782870109</v>
      </c>
      <c r="J129" s="478">
        <f t="shared" si="30"/>
        <v>0</v>
      </c>
      <c r="K129" s="478"/>
      <c r="L129" s="487"/>
      <c r="M129" s="478">
        <f t="shared" si="31"/>
        <v>0</v>
      </c>
      <c r="N129" s="487"/>
      <c r="O129" s="478">
        <f t="shared" si="32"/>
        <v>0</v>
      </c>
      <c r="P129" s="478">
        <f t="shared" si="33"/>
        <v>0</v>
      </c>
    </row>
    <row r="130" spans="2:16">
      <c r="B130" s="160" t="str">
        <f t="shared" si="34"/>
        <v/>
      </c>
      <c r="C130" s="472">
        <f>IF(D93="","-",+C129+1)</f>
        <v>2038</v>
      </c>
      <c r="D130" s="347">
        <f>IF(F129+SUM(E$99:E129)=D$92,F129,D$92-SUM(E$99:E129))</f>
        <v>25194</v>
      </c>
      <c r="E130" s="486">
        <f>IF(+J96&lt;F129,J96,D130)</f>
        <v>2165</v>
      </c>
      <c r="F130" s="485">
        <f t="shared" ref="F130:F153" si="54">+D130-E130</f>
        <v>23029</v>
      </c>
      <c r="G130" s="485">
        <f t="shared" ref="G130:G153" si="55">+(F130+D130)/2</f>
        <v>24111.5</v>
      </c>
      <c r="H130" s="486">
        <f t="shared" si="52"/>
        <v>4821.6690348112297</v>
      </c>
      <c r="I130" s="542">
        <f t="shared" si="53"/>
        <v>4821.6690348112297</v>
      </c>
      <c r="J130" s="478">
        <f t="shared" si="30"/>
        <v>0</v>
      </c>
      <c r="K130" s="478"/>
      <c r="L130" s="487"/>
      <c r="M130" s="478">
        <f t="shared" si="31"/>
        <v>0</v>
      </c>
      <c r="N130" s="487"/>
      <c r="O130" s="478">
        <f t="shared" si="32"/>
        <v>0</v>
      </c>
      <c r="P130" s="478">
        <f t="shared" si="33"/>
        <v>0</v>
      </c>
    </row>
    <row r="131" spans="2:16">
      <c r="B131" s="160" t="str">
        <f t="shared" si="34"/>
        <v/>
      </c>
      <c r="C131" s="472">
        <f>IF(D93="","-",+C130+1)</f>
        <v>2039</v>
      </c>
      <c r="D131" s="347">
        <f>IF(F130+SUM(E$99:E130)=D$92,F130,D$92-SUM(E$99:E130))</f>
        <v>23029</v>
      </c>
      <c r="E131" s="486">
        <f>IF(+J96&lt;F130,J96,D131)</f>
        <v>2165</v>
      </c>
      <c r="F131" s="485">
        <f t="shared" si="54"/>
        <v>20864</v>
      </c>
      <c r="G131" s="485">
        <f t="shared" si="55"/>
        <v>21946.5</v>
      </c>
      <c r="H131" s="486">
        <f t="shared" si="52"/>
        <v>4583.1235913354485</v>
      </c>
      <c r="I131" s="542">
        <f t="shared" si="53"/>
        <v>4583.1235913354485</v>
      </c>
      <c r="J131" s="478">
        <f t="shared" ref="J131:J154" si="56">+I382-H382</f>
        <v>0</v>
      </c>
      <c r="K131" s="478"/>
      <c r="L131" s="487"/>
      <c r="M131" s="478">
        <f t="shared" ref="M131:M154" si="57">IF(L382&lt;&gt;0,+H382-L382,0)</f>
        <v>0</v>
      </c>
      <c r="N131" s="487"/>
      <c r="O131" s="478">
        <f t="shared" ref="O131:O154" si="58">IF(N382&lt;&gt;0,+I382-N382,0)</f>
        <v>0</v>
      </c>
      <c r="P131" s="478">
        <f t="shared" ref="P131:P154" si="59">+O382-M382</f>
        <v>0</v>
      </c>
    </row>
    <row r="132" spans="2:16">
      <c r="B132" s="160" t="str">
        <f t="shared" si="34"/>
        <v/>
      </c>
      <c r="C132" s="472">
        <f>IF(D93="","-",+C131+1)</f>
        <v>2040</v>
      </c>
      <c r="D132" s="347">
        <f>IF(F131+SUM(E$99:E131)=D$92,F131,D$92-SUM(E$99:E131))</f>
        <v>20864</v>
      </c>
      <c r="E132" s="486">
        <f>IF(+J96&lt;F131,J96,D132)</f>
        <v>2165</v>
      </c>
      <c r="F132" s="485">
        <f t="shared" si="54"/>
        <v>18699</v>
      </c>
      <c r="G132" s="485">
        <f t="shared" si="55"/>
        <v>19781.5</v>
      </c>
      <c r="H132" s="486">
        <f t="shared" si="52"/>
        <v>4344.5781478596655</v>
      </c>
      <c r="I132" s="542">
        <f t="shared" si="53"/>
        <v>4344.5781478596655</v>
      </c>
      <c r="J132" s="478">
        <f t="shared" si="56"/>
        <v>0</v>
      </c>
      <c r="K132" s="478"/>
      <c r="L132" s="487"/>
      <c r="M132" s="478">
        <f t="shared" si="57"/>
        <v>0</v>
      </c>
      <c r="N132" s="487"/>
      <c r="O132" s="478">
        <f t="shared" si="58"/>
        <v>0</v>
      </c>
      <c r="P132" s="478">
        <f t="shared" si="59"/>
        <v>0</v>
      </c>
    </row>
    <row r="133" spans="2:16">
      <c r="B133" s="160" t="str">
        <f t="shared" si="34"/>
        <v/>
      </c>
      <c r="C133" s="472">
        <f>IF(D93="","-",+C132+1)</f>
        <v>2041</v>
      </c>
      <c r="D133" s="347">
        <f>IF(F132+SUM(E$99:E132)=D$92,F132,D$92-SUM(E$99:E132))</f>
        <v>18699</v>
      </c>
      <c r="E133" s="486">
        <f>IF(+J96&lt;F132,J96,D133)</f>
        <v>2165</v>
      </c>
      <c r="F133" s="485">
        <f t="shared" si="54"/>
        <v>16534</v>
      </c>
      <c r="G133" s="485">
        <f t="shared" si="55"/>
        <v>17616.5</v>
      </c>
      <c r="H133" s="486">
        <f t="shared" si="52"/>
        <v>4106.0327043838843</v>
      </c>
      <c r="I133" s="542">
        <f t="shared" si="53"/>
        <v>4106.0327043838843</v>
      </c>
      <c r="J133" s="478">
        <f t="shared" si="56"/>
        <v>0</v>
      </c>
      <c r="K133" s="478"/>
      <c r="L133" s="487"/>
      <c r="M133" s="478">
        <f t="shared" si="57"/>
        <v>0</v>
      </c>
      <c r="N133" s="487"/>
      <c r="O133" s="478">
        <f t="shared" si="58"/>
        <v>0</v>
      </c>
      <c r="P133" s="478">
        <f t="shared" si="59"/>
        <v>0</v>
      </c>
    </row>
    <row r="134" spans="2:16">
      <c r="B134" s="160" t="str">
        <f t="shared" si="34"/>
        <v/>
      </c>
      <c r="C134" s="472">
        <f>IF(D93="","-",+C133+1)</f>
        <v>2042</v>
      </c>
      <c r="D134" s="347">
        <f>IF(F133+SUM(E$99:E133)=D$92,F133,D$92-SUM(E$99:E133))</f>
        <v>16534</v>
      </c>
      <c r="E134" s="486">
        <f>IF(+J96&lt;F133,J96,D134)</f>
        <v>2165</v>
      </c>
      <c r="F134" s="485">
        <f t="shared" si="54"/>
        <v>14369</v>
      </c>
      <c r="G134" s="485">
        <f t="shared" si="55"/>
        <v>15451.5</v>
      </c>
      <c r="H134" s="486">
        <f t="shared" si="52"/>
        <v>3867.4872609081026</v>
      </c>
      <c r="I134" s="542">
        <f t="shared" si="53"/>
        <v>3867.4872609081026</v>
      </c>
      <c r="J134" s="478">
        <f t="shared" si="56"/>
        <v>0</v>
      </c>
      <c r="K134" s="478"/>
      <c r="L134" s="487"/>
      <c r="M134" s="478">
        <f t="shared" si="57"/>
        <v>0</v>
      </c>
      <c r="N134" s="487"/>
      <c r="O134" s="478">
        <f t="shared" si="58"/>
        <v>0</v>
      </c>
      <c r="P134" s="478">
        <f t="shared" si="59"/>
        <v>0</v>
      </c>
    </row>
    <row r="135" spans="2:16">
      <c r="B135" s="160" t="str">
        <f t="shared" si="34"/>
        <v/>
      </c>
      <c r="C135" s="472">
        <f>IF(D93="","-",+C134+1)</f>
        <v>2043</v>
      </c>
      <c r="D135" s="347">
        <f>IF(F134+SUM(E$99:E134)=D$92,F134,D$92-SUM(E$99:E134))</f>
        <v>14369</v>
      </c>
      <c r="E135" s="486">
        <f>IF(+J96&lt;F134,J96,D135)</f>
        <v>2165</v>
      </c>
      <c r="F135" s="485">
        <f t="shared" si="54"/>
        <v>12204</v>
      </c>
      <c r="G135" s="485">
        <f t="shared" si="55"/>
        <v>13286.5</v>
      </c>
      <c r="H135" s="486">
        <f t="shared" si="52"/>
        <v>3628.9418174323209</v>
      </c>
      <c r="I135" s="542">
        <f t="shared" si="53"/>
        <v>3628.9418174323209</v>
      </c>
      <c r="J135" s="478">
        <f t="shared" si="56"/>
        <v>0</v>
      </c>
      <c r="K135" s="478"/>
      <c r="L135" s="487"/>
      <c r="M135" s="478">
        <f t="shared" si="57"/>
        <v>0</v>
      </c>
      <c r="N135" s="487"/>
      <c r="O135" s="478">
        <f t="shared" si="58"/>
        <v>0</v>
      </c>
      <c r="P135" s="478">
        <f t="shared" si="59"/>
        <v>0</v>
      </c>
    </row>
    <row r="136" spans="2:16">
      <c r="B136" s="160" t="str">
        <f t="shared" si="34"/>
        <v/>
      </c>
      <c r="C136" s="472">
        <f>IF(D93="","-",+C135+1)</f>
        <v>2044</v>
      </c>
      <c r="D136" s="347">
        <f>IF(F135+SUM(E$99:E135)=D$92,F135,D$92-SUM(E$99:E135))</f>
        <v>12204</v>
      </c>
      <c r="E136" s="486">
        <f>IF(+J96&lt;F135,J96,D136)</f>
        <v>2165</v>
      </c>
      <c r="F136" s="485">
        <f t="shared" si="54"/>
        <v>10039</v>
      </c>
      <c r="G136" s="485">
        <f t="shared" si="55"/>
        <v>11121.5</v>
      </c>
      <c r="H136" s="486">
        <f t="shared" si="52"/>
        <v>3390.3963739565388</v>
      </c>
      <c r="I136" s="542">
        <f t="shared" si="53"/>
        <v>3390.3963739565388</v>
      </c>
      <c r="J136" s="478">
        <f t="shared" si="56"/>
        <v>0</v>
      </c>
      <c r="K136" s="478"/>
      <c r="L136" s="487"/>
      <c r="M136" s="478">
        <f t="shared" si="57"/>
        <v>0</v>
      </c>
      <c r="N136" s="487"/>
      <c r="O136" s="478">
        <f t="shared" si="58"/>
        <v>0</v>
      </c>
      <c r="P136" s="478">
        <f t="shared" si="59"/>
        <v>0</v>
      </c>
    </row>
    <row r="137" spans="2:16">
      <c r="B137" s="160" t="str">
        <f t="shared" si="34"/>
        <v/>
      </c>
      <c r="C137" s="472">
        <f>IF(D93="","-",+C136+1)</f>
        <v>2045</v>
      </c>
      <c r="D137" s="347">
        <f>IF(F136+SUM(E$99:E136)=D$92,F136,D$92-SUM(E$99:E136))</f>
        <v>10039</v>
      </c>
      <c r="E137" s="486">
        <f>IF(+J96&lt;F136,J96,D137)</f>
        <v>2165</v>
      </c>
      <c r="F137" s="485">
        <f t="shared" si="54"/>
        <v>7874</v>
      </c>
      <c r="G137" s="485">
        <f t="shared" si="55"/>
        <v>8956.5</v>
      </c>
      <c r="H137" s="486">
        <f t="shared" si="52"/>
        <v>3151.8509304807571</v>
      </c>
      <c r="I137" s="542">
        <f t="shared" si="53"/>
        <v>3151.8509304807571</v>
      </c>
      <c r="J137" s="478">
        <f t="shared" si="56"/>
        <v>0</v>
      </c>
      <c r="K137" s="478"/>
      <c r="L137" s="487"/>
      <c r="M137" s="478">
        <f t="shared" si="57"/>
        <v>0</v>
      </c>
      <c r="N137" s="487"/>
      <c r="O137" s="478">
        <f t="shared" si="58"/>
        <v>0</v>
      </c>
      <c r="P137" s="478">
        <f t="shared" si="59"/>
        <v>0</v>
      </c>
    </row>
    <row r="138" spans="2:16">
      <c r="B138" s="160" t="str">
        <f t="shared" si="34"/>
        <v/>
      </c>
      <c r="C138" s="472">
        <f>IF(D93="","-",+C137+1)</f>
        <v>2046</v>
      </c>
      <c r="D138" s="347">
        <f>IF(F137+SUM(E$99:E137)=D$92,F137,D$92-SUM(E$99:E137))</f>
        <v>7874</v>
      </c>
      <c r="E138" s="486">
        <f>IF(+J96&lt;F137,J96,D138)</f>
        <v>2165</v>
      </c>
      <c r="F138" s="485">
        <f t="shared" si="54"/>
        <v>5709</v>
      </c>
      <c r="G138" s="485">
        <f t="shared" si="55"/>
        <v>6791.5</v>
      </c>
      <c r="H138" s="486">
        <f t="shared" si="52"/>
        <v>2913.3054870049755</v>
      </c>
      <c r="I138" s="542">
        <f t="shared" si="53"/>
        <v>2913.3054870049755</v>
      </c>
      <c r="J138" s="478">
        <f t="shared" si="56"/>
        <v>0</v>
      </c>
      <c r="K138" s="478"/>
      <c r="L138" s="487"/>
      <c r="M138" s="478">
        <f t="shared" si="57"/>
        <v>0</v>
      </c>
      <c r="N138" s="487"/>
      <c r="O138" s="478">
        <f t="shared" si="58"/>
        <v>0</v>
      </c>
      <c r="P138" s="478">
        <f t="shared" si="59"/>
        <v>0</v>
      </c>
    </row>
    <row r="139" spans="2:16">
      <c r="B139" s="160" t="str">
        <f t="shared" si="34"/>
        <v/>
      </c>
      <c r="C139" s="472">
        <f>IF(D93="","-",+C138+1)</f>
        <v>2047</v>
      </c>
      <c r="D139" s="347">
        <f>IF(F138+SUM(E$99:E138)=D$92,F138,D$92-SUM(E$99:E138))</f>
        <v>5709</v>
      </c>
      <c r="E139" s="486">
        <f>IF(+J96&lt;F138,J96,D139)</f>
        <v>2165</v>
      </c>
      <c r="F139" s="485">
        <f t="shared" si="54"/>
        <v>3544</v>
      </c>
      <c r="G139" s="485">
        <f t="shared" si="55"/>
        <v>4626.5</v>
      </c>
      <c r="H139" s="486">
        <f t="shared" si="52"/>
        <v>2674.7600435291938</v>
      </c>
      <c r="I139" s="542">
        <f t="shared" si="53"/>
        <v>2674.7600435291938</v>
      </c>
      <c r="J139" s="478">
        <f t="shared" si="56"/>
        <v>0</v>
      </c>
      <c r="K139" s="478"/>
      <c r="L139" s="487"/>
      <c r="M139" s="478">
        <f t="shared" si="57"/>
        <v>0</v>
      </c>
      <c r="N139" s="487"/>
      <c r="O139" s="478">
        <f t="shared" si="58"/>
        <v>0</v>
      </c>
      <c r="P139" s="478">
        <f t="shared" si="59"/>
        <v>0</v>
      </c>
    </row>
    <row r="140" spans="2:16">
      <c r="B140" s="160" t="str">
        <f t="shared" si="34"/>
        <v/>
      </c>
      <c r="C140" s="472">
        <f>IF(D93="","-",+C139+1)</f>
        <v>2048</v>
      </c>
      <c r="D140" s="347">
        <f>IF(F139+SUM(E$99:E139)=D$92,F139,D$92-SUM(E$99:E139))</f>
        <v>3544</v>
      </c>
      <c r="E140" s="486">
        <f>IF(+J96&lt;F139,J96,D140)</f>
        <v>2165</v>
      </c>
      <c r="F140" s="485">
        <f t="shared" si="54"/>
        <v>1379</v>
      </c>
      <c r="G140" s="485">
        <f t="shared" si="55"/>
        <v>2461.5</v>
      </c>
      <c r="H140" s="486">
        <f t="shared" si="52"/>
        <v>2436.2146000534121</v>
      </c>
      <c r="I140" s="542">
        <f t="shared" si="53"/>
        <v>2436.2146000534121</v>
      </c>
      <c r="J140" s="478">
        <f t="shared" si="56"/>
        <v>0</v>
      </c>
      <c r="K140" s="478"/>
      <c r="L140" s="487"/>
      <c r="M140" s="478">
        <f t="shared" si="57"/>
        <v>0</v>
      </c>
      <c r="N140" s="487"/>
      <c r="O140" s="478">
        <f t="shared" si="58"/>
        <v>0</v>
      </c>
      <c r="P140" s="478">
        <f t="shared" si="59"/>
        <v>0</v>
      </c>
    </row>
    <row r="141" spans="2:16">
      <c r="B141" s="160" t="str">
        <f t="shared" si="34"/>
        <v/>
      </c>
      <c r="C141" s="472">
        <f>IF(D93="","-",+C140+1)</f>
        <v>2049</v>
      </c>
      <c r="D141" s="347">
        <f>IF(F140+SUM(E$99:E140)=D$92,F140,D$92-SUM(E$99:E140))</f>
        <v>1379</v>
      </c>
      <c r="E141" s="486">
        <f>IF(+J96&lt;F140,J96,D141)</f>
        <v>1379</v>
      </c>
      <c r="F141" s="485">
        <f t="shared" si="54"/>
        <v>0</v>
      </c>
      <c r="G141" s="485">
        <f t="shared" si="55"/>
        <v>689.5</v>
      </c>
      <c r="H141" s="486">
        <f t="shared" si="52"/>
        <v>1454.9709391577605</v>
      </c>
      <c r="I141" s="542">
        <f t="shared" si="53"/>
        <v>1454.9709391577605</v>
      </c>
      <c r="J141" s="478">
        <f t="shared" si="56"/>
        <v>0</v>
      </c>
      <c r="K141" s="478"/>
      <c r="L141" s="487"/>
      <c r="M141" s="478">
        <f t="shared" si="57"/>
        <v>0</v>
      </c>
      <c r="N141" s="487"/>
      <c r="O141" s="478">
        <f t="shared" si="58"/>
        <v>0</v>
      </c>
      <c r="P141" s="478">
        <f t="shared" si="59"/>
        <v>0</v>
      </c>
    </row>
    <row r="142" spans="2:16">
      <c r="B142" s="160" t="str">
        <f t="shared" si="34"/>
        <v/>
      </c>
      <c r="C142" s="472">
        <f>IF(D93="","-",+C141+1)</f>
        <v>2050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4"/>
        <v>0</v>
      </c>
      <c r="G142" s="485">
        <f t="shared" si="55"/>
        <v>0</v>
      </c>
      <c r="H142" s="486">
        <f t="shared" si="52"/>
        <v>0</v>
      </c>
      <c r="I142" s="542">
        <f t="shared" si="53"/>
        <v>0</v>
      </c>
      <c r="J142" s="478">
        <f t="shared" si="56"/>
        <v>0</v>
      </c>
      <c r="K142" s="478"/>
      <c r="L142" s="487"/>
      <c r="M142" s="478">
        <f t="shared" si="57"/>
        <v>0</v>
      </c>
      <c r="N142" s="487"/>
      <c r="O142" s="478">
        <f t="shared" si="58"/>
        <v>0</v>
      </c>
      <c r="P142" s="478">
        <f t="shared" si="59"/>
        <v>0</v>
      </c>
    </row>
    <row r="143" spans="2:16">
      <c r="B143" s="160" t="str">
        <f t="shared" si="34"/>
        <v/>
      </c>
      <c r="C143" s="472">
        <f>IF(D93="","-",+C142+1)</f>
        <v>2051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4"/>
        <v>0</v>
      </c>
      <c r="G143" s="485">
        <f t="shared" si="55"/>
        <v>0</v>
      </c>
      <c r="H143" s="486">
        <f t="shared" si="52"/>
        <v>0</v>
      </c>
      <c r="I143" s="542">
        <f t="shared" si="53"/>
        <v>0</v>
      </c>
      <c r="J143" s="478">
        <f t="shared" si="56"/>
        <v>0</v>
      </c>
      <c r="K143" s="478"/>
      <c r="L143" s="487"/>
      <c r="M143" s="478">
        <f t="shared" si="57"/>
        <v>0</v>
      </c>
      <c r="N143" s="487"/>
      <c r="O143" s="478">
        <f t="shared" si="58"/>
        <v>0</v>
      </c>
      <c r="P143" s="478">
        <f t="shared" si="59"/>
        <v>0</v>
      </c>
    </row>
    <row r="144" spans="2:16">
      <c r="B144" s="160" t="str">
        <f t="shared" si="34"/>
        <v/>
      </c>
      <c r="C144" s="472">
        <f>IF(D93="","-",+C143+1)</f>
        <v>2052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4"/>
        <v>0</v>
      </c>
      <c r="G144" s="485">
        <f t="shared" si="55"/>
        <v>0</v>
      </c>
      <c r="H144" s="486">
        <f t="shared" si="52"/>
        <v>0</v>
      </c>
      <c r="I144" s="542">
        <f t="shared" si="53"/>
        <v>0</v>
      </c>
      <c r="J144" s="478">
        <f t="shared" si="56"/>
        <v>0</v>
      </c>
      <c r="K144" s="478"/>
      <c r="L144" s="487"/>
      <c r="M144" s="478">
        <f t="shared" si="57"/>
        <v>0</v>
      </c>
      <c r="N144" s="487"/>
      <c r="O144" s="478">
        <f t="shared" si="58"/>
        <v>0</v>
      </c>
      <c r="P144" s="478">
        <f t="shared" si="59"/>
        <v>0</v>
      </c>
    </row>
    <row r="145" spans="2:16">
      <c r="B145" s="160" t="str">
        <f t="shared" si="34"/>
        <v/>
      </c>
      <c r="C145" s="472">
        <f>IF(D93="","-",+C144+1)</f>
        <v>2053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4"/>
        <v>0</v>
      </c>
      <c r="G145" s="485">
        <f t="shared" si="55"/>
        <v>0</v>
      </c>
      <c r="H145" s="486">
        <f t="shared" si="52"/>
        <v>0</v>
      </c>
      <c r="I145" s="542">
        <f t="shared" si="53"/>
        <v>0</v>
      </c>
      <c r="J145" s="478">
        <f t="shared" si="56"/>
        <v>0</v>
      </c>
      <c r="K145" s="478"/>
      <c r="L145" s="487"/>
      <c r="M145" s="478">
        <f t="shared" si="57"/>
        <v>0</v>
      </c>
      <c r="N145" s="487"/>
      <c r="O145" s="478">
        <f t="shared" si="58"/>
        <v>0</v>
      </c>
      <c r="P145" s="478">
        <f t="shared" si="59"/>
        <v>0</v>
      </c>
    </row>
    <row r="146" spans="2:16">
      <c r="B146" s="160" t="str">
        <f t="shared" si="34"/>
        <v/>
      </c>
      <c r="C146" s="472">
        <f>IF(D93="","-",+C145+1)</f>
        <v>2054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4"/>
        <v>0</v>
      </c>
      <c r="G146" s="485">
        <f t="shared" si="55"/>
        <v>0</v>
      </c>
      <c r="H146" s="486">
        <f t="shared" si="52"/>
        <v>0</v>
      </c>
      <c r="I146" s="542">
        <f t="shared" si="53"/>
        <v>0</v>
      </c>
      <c r="J146" s="478">
        <f t="shared" si="56"/>
        <v>0</v>
      </c>
      <c r="K146" s="478"/>
      <c r="L146" s="487"/>
      <c r="M146" s="478">
        <f t="shared" si="57"/>
        <v>0</v>
      </c>
      <c r="N146" s="487"/>
      <c r="O146" s="478">
        <f t="shared" si="58"/>
        <v>0</v>
      </c>
      <c r="P146" s="478">
        <f t="shared" si="59"/>
        <v>0</v>
      </c>
    </row>
    <row r="147" spans="2:16">
      <c r="B147" s="160" t="str">
        <f t="shared" si="34"/>
        <v/>
      </c>
      <c r="C147" s="472">
        <f>IF(D93="","-",+C146+1)</f>
        <v>2055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4"/>
        <v>0</v>
      </c>
      <c r="G147" s="485">
        <f t="shared" si="55"/>
        <v>0</v>
      </c>
      <c r="H147" s="486">
        <f t="shared" si="52"/>
        <v>0</v>
      </c>
      <c r="I147" s="542">
        <f t="shared" si="53"/>
        <v>0</v>
      </c>
      <c r="J147" s="478">
        <f t="shared" si="56"/>
        <v>0</v>
      </c>
      <c r="K147" s="478"/>
      <c r="L147" s="487"/>
      <c r="M147" s="478">
        <f t="shared" si="57"/>
        <v>0</v>
      </c>
      <c r="N147" s="487"/>
      <c r="O147" s="478">
        <f t="shared" si="58"/>
        <v>0</v>
      </c>
      <c r="P147" s="478">
        <f t="shared" si="59"/>
        <v>0</v>
      </c>
    </row>
    <row r="148" spans="2:16">
      <c r="B148" s="160" t="str">
        <f t="shared" si="34"/>
        <v/>
      </c>
      <c r="C148" s="472">
        <f>IF(D93="","-",+C147+1)</f>
        <v>2056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4"/>
        <v>0</v>
      </c>
      <c r="G148" s="485">
        <f t="shared" si="55"/>
        <v>0</v>
      </c>
      <c r="H148" s="486">
        <f t="shared" si="52"/>
        <v>0</v>
      </c>
      <c r="I148" s="542">
        <f t="shared" si="53"/>
        <v>0</v>
      </c>
      <c r="J148" s="478">
        <f t="shared" si="56"/>
        <v>0</v>
      </c>
      <c r="K148" s="478"/>
      <c r="L148" s="487"/>
      <c r="M148" s="478">
        <f t="shared" si="57"/>
        <v>0</v>
      </c>
      <c r="N148" s="487"/>
      <c r="O148" s="478">
        <f t="shared" si="58"/>
        <v>0</v>
      </c>
      <c r="P148" s="478">
        <f t="shared" si="59"/>
        <v>0</v>
      </c>
    </row>
    <row r="149" spans="2:16">
      <c r="B149" s="160" t="str">
        <f t="shared" si="34"/>
        <v/>
      </c>
      <c r="C149" s="472">
        <f>IF(D93="","-",+C148+1)</f>
        <v>2057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4"/>
        <v>0</v>
      </c>
      <c r="G149" s="485">
        <f t="shared" si="55"/>
        <v>0</v>
      </c>
      <c r="H149" s="486">
        <f t="shared" si="52"/>
        <v>0</v>
      </c>
      <c r="I149" s="542">
        <f t="shared" si="53"/>
        <v>0</v>
      </c>
      <c r="J149" s="478">
        <f t="shared" si="56"/>
        <v>0</v>
      </c>
      <c r="K149" s="478"/>
      <c r="L149" s="487"/>
      <c r="M149" s="478">
        <f t="shared" si="57"/>
        <v>0</v>
      </c>
      <c r="N149" s="487"/>
      <c r="O149" s="478">
        <f t="shared" si="58"/>
        <v>0</v>
      </c>
      <c r="P149" s="478">
        <f t="shared" si="59"/>
        <v>0</v>
      </c>
    </row>
    <row r="150" spans="2:16">
      <c r="B150" s="160" t="str">
        <f t="shared" si="34"/>
        <v/>
      </c>
      <c r="C150" s="472">
        <f>IF(D93="","-",+C149+1)</f>
        <v>2058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4"/>
        <v>0</v>
      </c>
      <c r="G150" s="485">
        <f t="shared" si="55"/>
        <v>0</v>
      </c>
      <c r="H150" s="486">
        <f t="shared" si="52"/>
        <v>0</v>
      </c>
      <c r="I150" s="542">
        <f t="shared" si="53"/>
        <v>0</v>
      </c>
      <c r="J150" s="478">
        <f t="shared" si="56"/>
        <v>0</v>
      </c>
      <c r="K150" s="478"/>
      <c r="L150" s="487"/>
      <c r="M150" s="478">
        <f t="shared" si="57"/>
        <v>0</v>
      </c>
      <c r="N150" s="487"/>
      <c r="O150" s="478">
        <f t="shared" si="58"/>
        <v>0</v>
      </c>
      <c r="P150" s="478">
        <f t="shared" si="59"/>
        <v>0</v>
      </c>
    </row>
    <row r="151" spans="2:16">
      <c r="B151" s="160" t="str">
        <f t="shared" si="34"/>
        <v/>
      </c>
      <c r="C151" s="472">
        <f>IF(D93="","-",+C150+1)</f>
        <v>2059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4"/>
        <v>0</v>
      </c>
      <c r="G151" s="485">
        <f t="shared" si="55"/>
        <v>0</v>
      </c>
      <c r="H151" s="486">
        <f t="shared" si="52"/>
        <v>0</v>
      </c>
      <c r="I151" s="542">
        <f t="shared" si="53"/>
        <v>0</v>
      </c>
      <c r="J151" s="478">
        <f t="shared" si="56"/>
        <v>0</v>
      </c>
      <c r="K151" s="478"/>
      <c r="L151" s="487"/>
      <c r="M151" s="478">
        <f t="shared" si="57"/>
        <v>0</v>
      </c>
      <c r="N151" s="487"/>
      <c r="O151" s="478">
        <f t="shared" si="58"/>
        <v>0</v>
      </c>
      <c r="P151" s="478">
        <f t="shared" si="59"/>
        <v>0</v>
      </c>
    </row>
    <row r="152" spans="2:16">
      <c r="B152" s="160" t="str">
        <f t="shared" si="34"/>
        <v/>
      </c>
      <c r="C152" s="472">
        <f>IF(D93="","-",+C151+1)</f>
        <v>2060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4"/>
        <v>0</v>
      </c>
      <c r="G152" s="485">
        <f t="shared" si="55"/>
        <v>0</v>
      </c>
      <c r="H152" s="486">
        <f t="shared" si="52"/>
        <v>0</v>
      </c>
      <c r="I152" s="542">
        <f t="shared" si="53"/>
        <v>0</v>
      </c>
      <c r="J152" s="478">
        <f t="shared" si="56"/>
        <v>0</v>
      </c>
      <c r="K152" s="478"/>
      <c r="L152" s="487"/>
      <c r="M152" s="478">
        <f t="shared" si="57"/>
        <v>0</v>
      </c>
      <c r="N152" s="487"/>
      <c r="O152" s="478">
        <f t="shared" si="58"/>
        <v>0</v>
      </c>
      <c r="P152" s="478">
        <f t="shared" si="59"/>
        <v>0</v>
      </c>
    </row>
    <row r="153" spans="2:16">
      <c r="B153" s="160" t="str">
        <f t="shared" si="34"/>
        <v/>
      </c>
      <c r="C153" s="472">
        <f>IF(D93="","-",+C152+1)</f>
        <v>2061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4"/>
        <v>0</v>
      </c>
      <c r="G153" s="485">
        <f t="shared" si="55"/>
        <v>0</v>
      </c>
      <c r="H153" s="486">
        <f t="shared" si="52"/>
        <v>0</v>
      </c>
      <c r="I153" s="542">
        <f t="shared" si="53"/>
        <v>0</v>
      </c>
      <c r="J153" s="478">
        <f t="shared" si="56"/>
        <v>0</v>
      </c>
      <c r="K153" s="478"/>
      <c r="L153" s="487"/>
      <c r="M153" s="478">
        <f t="shared" si="57"/>
        <v>0</v>
      </c>
      <c r="N153" s="487"/>
      <c r="O153" s="478">
        <f t="shared" si="58"/>
        <v>0</v>
      </c>
      <c r="P153" s="478">
        <f t="shared" si="59"/>
        <v>0</v>
      </c>
    </row>
    <row r="154" spans="2:16" ht="13.5" thickBot="1">
      <c r="B154" s="160" t="str">
        <f t="shared" si="34"/>
        <v/>
      </c>
      <c r="C154" s="489">
        <f>IF(D93="","-",+C153+1)</f>
        <v>2062</v>
      </c>
      <c r="D154" s="543">
        <f>IF(F153+SUM(E$99:E153)=D$92,F153,D$92-SUM(E$99:E153))</f>
        <v>0</v>
      </c>
      <c r="E154" s="544">
        <f>IF(+J96&lt;F153,J96,D154)</f>
        <v>0</v>
      </c>
      <c r="F154" s="490">
        <f>+D154-E154</f>
        <v>0</v>
      </c>
      <c r="G154" s="490">
        <f>+(F154+D154)/2</f>
        <v>0</v>
      </c>
      <c r="H154" s="492">
        <f t="shared" ref="H154" si="60">+J$94*G154+E154</f>
        <v>0</v>
      </c>
      <c r="I154" s="545">
        <f t="shared" ref="I154" si="61">+J$95*G154+E154</f>
        <v>0</v>
      </c>
      <c r="J154" s="495">
        <f t="shared" si="56"/>
        <v>0</v>
      </c>
      <c r="K154" s="478"/>
      <c r="L154" s="494"/>
      <c r="M154" s="495">
        <f t="shared" si="57"/>
        <v>0</v>
      </c>
      <c r="N154" s="494"/>
      <c r="O154" s="495">
        <f t="shared" si="58"/>
        <v>0</v>
      </c>
      <c r="P154" s="495">
        <f t="shared" si="59"/>
        <v>0</v>
      </c>
    </row>
    <row r="155" spans="2:16">
      <c r="C155" s="347" t="s">
        <v>77</v>
      </c>
      <c r="D155" s="348"/>
      <c r="E155" s="348">
        <f>SUM(E99:E154)</f>
        <v>84424</v>
      </c>
      <c r="F155" s="348"/>
      <c r="G155" s="348"/>
      <c r="H155" s="348">
        <f>SUM(H99:H154)</f>
        <v>312645.20872406999</v>
      </c>
      <c r="I155" s="348">
        <f>SUM(I99:I154)</f>
        <v>312645.20872406999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>
    <tabColor rgb="FFC00000"/>
  </sheetPr>
  <dimension ref="A1:P162"/>
  <sheetViews>
    <sheetView view="pageBreakPreview" zoomScale="75" zoomScaleNormal="100" workbookViewId="0">
      <selection activeCell="D96" sqref="D9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8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5328.2273193212004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5328.2273193212004</v>
      </c>
      <c r="O6" s="233"/>
      <c r="P6" s="233"/>
    </row>
    <row r="7" spans="1:16" ht="13.5" thickBot="1">
      <c r="C7" s="431" t="s">
        <v>46</v>
      </c>
      <c r="D7" s="432" t="s">
        <v>215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87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56133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1336.5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2006</v>
      </c>
      <c r="D17" s="473">
        <v>56133</v>
      </c>
      <c r="E17" s="474">
        <v>752</v>
      </c>
      <c r="F17" s="473">
        <v>55381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2007</v>
      </c>
      <c r="D18" s="479">
        <v>55381</v>
      </c>
      <c r="E18" s="480">
        <v>1002</v>
      </c>
      <c r="F18" s="479">
        <v>54379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2008</v>
      </c>
      <c r="D19" s="479">
        <v>54379</v>
      </c>
      <c r="E19" s="480">
        <v>1002</v>
      </c>
      <c r="F19" s="479">
        <v>53377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2009</v>
      </c>
      <c r="D20" s="479">
        <v>53377</v>
      </c>
      <c r="E20" s="480">
        <v>1002</v>
      </c>
      <c r="F20" s="479">
        <v>52375</v>
      </c>
      <c r="G20" s="480">
        <v>0</v>
      </c>
      <c r="H20" s="481">
        <v>0</v>
      </c>
      <c r="I20" s="475">
        <f t="shared" si="0"/>
        <v>0</v>
      </c>
      <c r="J20" s="475"/>
      <c r="K20" s="476">
        <v>0</v>
      </c>
      <c r="L20" s="478">
        <f t="shared" si="1"/>
        <v>0</v>
      </c>
      <c r="M20" s="476">
        <v>0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2010</v>
      </c>
      <c r="D21" s="479">
        <v>52375</v>
      </c>
      <c r="E21" s="480">
        <v>1002.375</v>
      </c>
      <c r="F21" s="479">
        <v>51372.625</v>
      </c>
      <c r="G21" s="480">
        <v>8415.2657154769768</v>
      </c>
      <c r="H21" s="481">
        <v>8415.2657154769768</v>
      </c>
      <c r="I21" s="475">
        <f t="shared" si="0"/>
        <v>0</v>
      </c>
      <c r="J21" s="475"/>
      <c r="K21" s="476">
        <f t="shared" ref="K21:K26" si="5">G21</f>
        <v>8415.2657154769768</v>
      </c>
      <c r="L21" s="550">
        <f t="shared" si="1"/>
        <v>0</v>
      </c>
      <c r="M21" s="476">
        <f t="shared" ref="M21:M26" si="6">H21</f>
        <v>8415.2657154769768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2011</v>
      </c>
      <c r="D22" s="479">
        <v>51372.625</v>
      </c>
      <c r="E22" s="480">
        <v>1100.6470588235295</v>
      </c>
      <c r="F22" s="479">
        <v>50271.977941176468</v>
      </c>
      <c r="G22" s="480">
        <v>8970.3904929935452</v>
      </c>
      <c r="H22" s="481">
        <v>8970.3904929935452</v>
      </c>
      <c r="I22" s="475">
        <f t="shared" si="0"/>
        <v>0</v>
      </c>
      <c r="J22" s="475"/>
      <c r="K22" s="476">
        <f t="shared" si="5"/>
        <v>8970.3904929935452</v>
      </c>
      <c r="L22" s="550">
        <f t="shared" si="1"/>
        <v>0</v>
      </c>
      <c r="M22" s="476">
        <f t="shared" si="6"/>
        <v>8970.3904929935452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2012</v>
      </c>
      <c r="D23" s="479">
        <v>50271.977941176468</v>
      </c>
      <c r="E23" s="480">
        <v>1079.4807692307693</v>
      </c>
      <c r="F23" s="479">
        <v>49192.497171945703</v>
      </c>
      <c r="G23" s="480">
        <v>7927.4076335998161</v>
      </c>
      <c r="H23" s="481">
        <v>7927.4076335998161</v>
      </c>
      <c r="I23" s="475">
        <f t="shared" si="0"/>
        <v>0</v>
      </c>
      <c r="J23" s="475"/>
      <c r="K23" s="476">
        <f t="shared" si="5"/>
        <v>7927.4076335998161</v>
      </c>
      <c r="L23" s="550">
        <f t="shared" si="1"/>
        <v>0</v>
      </c>
      <c r="M23" s="476">
        <f t="shared" si="6"/>
        <v>7927.4076335998161</v>
      </c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4"/>
        <v/>
      </c>
      <c r="C24" s="472">
        <f>IF(D11="","-",+C23+1)</f>
        <v>2013</v>
      </c>
      <c r="D24" s="479">
        <v>49192.497171945703</v>
      </c>
      <c r="E24" s="480">
        <v>1079.4807692307693</v>
      </c>
      <c r="F24" s="479">
        <v>48113.016402714937</v>
      </c>
      <c r="G24" s="480">
        <v>7950.3447729090094</v>
      </c>
      <c r="H24" s="481">
        <v>7950.3447729090094</v>
      </c>
      <c r="I24" s="475">
        <v>0</v>
      </c>
      <c r="J24" s="475"/>
      <c r="K24" s="476">
        <f t="shared" si="5"/>
        <v>7950.3447729090094</v>
      </c>
      <c r="L24" s="550">
        <f t="shared" ref="L24:L29" si="7">IF(K24&lt;&gt;0,+G24-K24,0)</f>
        <v>0</v>
      </c>
      <c r="M24" s="476">
        <f t="shared" si="6"/>
        <v>7950.3447729090094</v>
      </c>
      <c r="N24" s="478">
        <f t="shared" ref="N24:N29" si="8">IF(M24&lt;&gt;0,+H24-M24,0)</f>
        <v>0</v>
      </c>
      <c r="O24" s="478">
        <f t="shared" ref="O24:O29" si="9">+N24-L24</f>
        <v>0</v>
      </c>
      <c r="P24" s="243"/>
    </row>
    <row r="25" spans="2:16">
      <c r="B25" s="160" t="str">
        <f t="shared" si="4"/>
        <v/>
      </c>
      <c r="C25" s="472">
        <f>IF(D11="","-",+C24+1)</f>
        <v>2014</v>
      </c>
      <c r="D25" s="479">
        <v>48113.016402714937</v>
      </c>
      <c r="E25" s="480">
        <v>1079.4807692307693</v>
      </c>
      <c r="F25" s="479">
        <v>47033.535633484171</v>
      </c>
      <c r="G25" s="480">
        <v>7554.0593246775043</v>
      </c>
      <c r="H25" s="481">
        <v>7554.0593246775043</v>
      </c>
      <c r="I25" s="475">
        <v>0</v>
      </c>
      <c r="J25" s="475"/>
      <c r="K25" s="476">
        <f t="shared" si="5"/>
        <v>7554.0593246775043</v>
      </c>
      <c r="L25" s="550">
        <f t="shared" si="7"/>
        <v>0</v>
      </c>
      <c r="M25" s="476">
        <f t="shared" si="6"/>
        <v>7554.0593246775043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2015</v>
      </c>
      <c r="D26" s="479">
        <v>47033.535633484171</v>
      </c>
      <c r="E26" s="480">
        <v>1079.4807692307693</v>
      </c>
      <c r="F26" s="479">
        <v>45954.054864253405</v>
      </c>
      <c r="G26" s="480">
        <v>7415.24244849963</v>
      </c>
      <c r="H26" s="481">
        <v>7415.24244849963</v>
      </c>
      <c r="I26" s="475">
        <v>0</v>
      </c>
      <c r="J26" s="475"/>
      <c r="K26" s="476">
        <f t="shared" si="5"/>
        <v>7415.24244849963</v>
      </c>
      <c r="L26" s="550">
        <f t="shared" si="7"/>
        <v>0</v>
      </c>
      <c r="M26" s="476">
        <f t="shared" si="6"/>
        <v>7415.24244849963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2016</v>
      </c>
      <c r="D27" s="479">
        <v>45954.054864253405</v>
      </c>
      <c r="E27" s="480">
        <v>1079.4807692307693</v>
      </c>
      <c r="F27" s="479">
        <v>44874.574095022639</v>
      </c>
      <c r="G27" s="480">
        <v>6965.2134846377958</v>
      </c>
      <c r="H27" s="481">
        <v>6965.2134846377958</v>
      </c>
      <c r="I27" s="475">
        <f t="shared" si="0"/>
        <v>0</v>
      </c>
      <c r="J27" s="475"/>
      <c r="K27" s="476">
        <f t="shared" ref="K27:K32" si="10">G27</f>
        <v>6965.2134846377958</v>
      </c>
      <c r="L27" s="550">
        <f t="shared" si="7"/>
        <v>0</v>
      </c>
      <c r="M27" s="476">
        <f t="shared" ref="M27:M32" si="11">H27</f>
        <v>6965.2134846377958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2017</v>
      </c>
      <c r="D28" s="479">
        <v>44874.574095022639</v>
      </c>
      <c r="E28" s="480">
        <v>1220.2826086956522</v>
      </c>
      <c r="F28" s="479">
        <v>43654.291486326983</v>
      </c>
      <c r="G28" s="480">
        <v>6775.7563240948048</v>
      </c>
      <c r="H28" s="481">
        <v>6775.7563240948048</v>
      </c>
      <c r="I28" s="475">
        <f t="shared" si="0"/>
        <v>0</v>
      </c>
      <c r="J28" s="475"/>
      <c r="K28" s="476">
        <f t="shared" si="10"/>
        <v>6775.7563240948048</v>
      </c>
      <c r="L28" s="550">
        <f t="shared" si="7"/>
        <v>0</v>
      </c>
      <c r="M28" s="476">
        <f t="shared" si="11"/>
        <v>6775.7563240948048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2018</v>
      </c>
      <c r="D29" s="479">
        <v>43654.291486326983</v>
      </c>
      <c r="E29" s="480">
        <v>1247.4000000000001</v>
      </c>
      <c r="F29" s="479">
        <v>42406.891486326982</v>
      </c>
      <c r="G29" s="480">
        <v>6400.6980544313355</v>
      </c>
      <c r="H29" s="481">
        <v>6400.6980544313355</v>
      </c>
      <c r="I29" s="475">
        <f t="shared" si="0"/>
        <v>0</v>
      </c>
      <c r="J29" s="475"/>
      <c r="K29" s="476">
        <f t="shared" si="10"/>
        <v>6400.6980544313355</v>
      </c>
      <c r="L29" s="550">
        <f t="shared" si="7"/>
        <v>0</v>
      </c>
      <c r="M29" s="476">
        <f t="shared" si="11"/>
        <v>6400.6980544313355</v>
      </c>
      <c r="N29" s="478">
        <f t="shared" si="8"/>
        <v>0</v>
      </c>
      <c r="O29" s="478">
        <f t="shared" si="9"/>
        <v>0</v>
      </c>
      <c r="P29" s="243"/>
    </row>
    <row r="30" spans="2:16">
      <c r="B30" s="160" t="str">
        <f t="shared" si="4"/>
        <v/>
      </c>
      <c r="C30" s="472">
        <f>IF(D11="","-",+C29+1)</f>
        <v>2019</v>
      </c>
      <c r="D30" s="479">
        <v>42406.891486326982</v>
      </c>
      <c r="E30" s="480">
        <v>1403.325</v>
      </c>
      <c r="F30" s="479">
        <v>41003.566486326985</v>
      </c>
      <c r="G30" s="480">
        <v>6059.9903761062678</v>
      </c>
      <c r="H30" s="481">
        <v>6059.9903761062678</v>
      </c>
      <c r="I30" s="475">
        <f t="shared" si="0"/>
        <v>0</v>
      </c>
      <c r="J30" s="475"/>
      <c r="K30" s="476">
        <f t="shared" si="10"/>
        <v>6059.9903761062678</v>
      </c>
      <c r="L30" s="550">
        <f t="shared" ref="L30" si="12">IF(K30&lt;&gt;0,+G30-K30,0)</f>
        <v>0</v>
      </c>
      <c r="M30" s="476">
        <f t="shared" si="11"/>
        <v>6059.9903761062678</v>
      </c>
      <c r="N30" s="478">
        <f t="shared" ref="N30" si="13">IF(M30&lt;&gt;0,+H30-M30,0)</f>
        <v>0</v>
      </c>
      <c r="O30" s="478">
        <f t="shared" ref="O30" si="14">+N30-L30</f>
        <v>0</v>
      </c>
      <c r="P30" s="243"/>
    </row>
    <row r="31" spans="2:16">
      <c r="B31" s="160" t="str">
        <f t="shared" si="4"/>
        <v>IU</v>
      </c>
      <c r="C31" s="472">
        <f>IF(D11="","-",+C30+1)</f>
        <v>2020</v>
      </c>
      <c r="D31" s="479">
        <v>41159.491486326981</v>
      </c>
      <c r="E31" s="480">
        <v>1336.5</v>
      </c>
      <c r="F31" s="479">
        <v>39822.991486326981</v>
      </c>
      <c r="G31" s="480">
        <v>5709.7475035377865</v>
      </c>
      <c r="H31" s="481">
        <v>5709.7475035377865</v>
      </c>
      <c r="I31" s="475">
        <f t="shared" si="0"/>
        <v>0</v>
      </c>
      <c r="J31" s="475"/>
      <c r="K31" s="476">
        <f t="shared" si="10"/>
        <v>5709.7475035377865</v>
      </c>
      <c r="L31" s="550">
        <f t="shared" ref="L31" si="15">IF(K31&lt;&gt;0,+G31-K31,0)</f>
        <v>0</v>
      </c>
      <c r="M31" s="476">
        <f t="shared" si="11"/>
        <v>5709.7475035377865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>IU</v>
      </c>
      <c r="C32" s="472">
        <f>IF(D11="","-",+C31+1)</f>
        <v>2021</v>
      </c>
      <c r="D32" s="479">
        <v>39667.06648632697</v>
      </c>
      <c r="E32" s="480">
        <v>1305.4186046511627</v>
      </c>
      <c r="F32" s="479">
        <v>38361.64788167581</v>
      </c>
      <c r="G32" s="480">
        <v>5441.6348487910545</v>
      </c>
      <c r="H32" s="481">
        <v>5441.6348487910545</v>
      </c>
      <c r="I32" s="475">
        <f t="shared" si="0"/>
        <v>0</v>
      </c>
      <c r="J32" s="475"/>
      <c r="K32" s="476">
        <f t="shared" si="10"/>
        <v>5441.6348487910545</v>
      </c>
      <c r="L32" s="550">
        <f t="shared" ref="L32" si="16">IF(K32&lt;&gt;0,+G32-K32,0)</f>
        <v>0</v>
      </c>
      <c r="M32" s="476">
        <f t="shared" si="11"/>
        <v>5441.6348487910545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/>
      </c>
      <c r="C33" s="472">
        <f>IF(D11="","-",+C32+1)</f>
        <v>2022</v>
      </c>
      <c r="D33" s="479">
        <v>38361.64788167581</v>
      </c>
      <c r="E33" s="480">
        <v>1336.5</v>
      </c>
      <c r="F33" s="479">
        <v>37025.14788167581</v>
      </c>
      <c r="G33" s="480">
        <v>5328.2273193212004</v>
      </c>
      <c r="H33" s="481">
        <v>5328.2273193212004</v>
      </c>
      <c r="I33" s="475">
        <f t="shared" si="0"/>
        <v>0</v>
      </c>
      <c r="J33" s="475"/>
      <c r="K33" s="476">
        <f t="shared" ref="K33" si="17">G33</f>
        <v>5328.2273193212004</v>
      </c>
      <c r="L33" s="550">
        <f t="shared" ref="L33" si="18">IF(K33&lt;&gt;0,+G33-K33,0)</f>
        <v>0</v>
      </c>
      <c r="M33" s="476">
        <f t="shared" ref="M33" si="19">H33</f>
        <v>5328.2273193212004</v>
      </c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2023</v>
      </c>
      <c r="D34" s="485">
        <f>IF(F33+SUM(E$17:E33)=D$10,F33,D$10-SUM(E$17:E33))</f>
        <v>37025.14788167581</v>
      </c>
      <c r="E34" s="484">
        <f>IF(+I14&lt;F33,I14,D34)</f>
        <v>1336.5</v>
      </c>
      <c r="F34" s="485">
        <f t="shared" ref="F34:F48" si="20">+D34-E34</f>
        <v>35688.64788167581</v>
      </c>
      <c r="G34" s="486">
        <f t="shared" ref="G34:G72" si="21">(D34+F34)/2*I$12+E34</f>
        <v>5256.1824543105031</v>
      </c>
      <c r="H34" s="455">
        <f t="shared" ref="H34:H72" si="22">+(D34+F34)/2*I$13+E34</f>
        <v>5256.1824543105031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2024</v>
      </c>
      <c r="D35" s="485">
        <f>IF(F34+SUM(E$17:E34)=D$10,F34,D$10-SUM(E$17:E34))</f>
        <v>35688.64788167581</v>
      </c>
      <c r="E35" s="484">
        <f>IF(+I14&lt;F34,I14,D35)</f>
        <v>1336.5</v>
      </c>
      <c r="F35" s="485">
        <f t="shared" si="20"/>
        <v>34352.14788167581</v>
      </c>
      <c r="G35" s="486">
        <f t="shared" si="21"/>
        <v>5112.0927242891121</v>
      </c>
      <c r="H35" s="455">
        <f t="shared" si="22"/>
        <v>5112.0927242891121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2025</v>
      </c>
      <c r="D36" s="485">
        <f>IF(F35+SUM(E$17:E35)=D$10,F35,D$10-SUM(E$17:E35))</f>
        <v>34352.14788167581</v>
      </c>
      <c r="E36" s="484">
        <f>IF(+I14&lt;F35,I14,D36)</f>
        <v>1336.5</v>
      </c>
      <c r="F36" s="485">
        <f t="shared" si="20"/>
        <v>33015.64788167581</v>
      </c>
      <c r="G36" s="486">
        <f t="shared" si="21"/>
        <v>4968.0029942677193</v>
      </c>
      <c r="H36" s="455">
        <f t="shared" si="22"/>
        <v>4968.0029942677193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2026</v>
      </c>
      <c r="D37" s="485">
        <f>IF(F36+SUM(E$17:E36)=D$10,F36,D$10-SUM(E$17:E36))</f>
        <v>33015.64788167581</v>
      </c>
      <c r="E37" s="484">
        <f>IF(+I14&lt;F36,I14,D37)</f>
        <v>1336.5</v>
      </c>
      <c r="F37" s="485">
        <f t="shared" si="20"/>
        <v>31679.14788167581</v>
      </c>
      <c r="G37" s="486">
        <f t="shared" si="21"/>
        <v>4823.9132642463283</v>
      </c>
      <c r="H37" s="455">
        <f t="shared" si="22"/>
        <v>4823.9132642463283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565" t="str">
        <f t="shared" si="4"/>
        <v/>
      </c>
      <c r="C38" s="472">
        <f>IF(D11="","-",+C37+1)</f>
        <v>2027</v>
      </c>
      <c r="D38" s="485">
        <f>IF(F37+SUM(E$17:E37)=D$10,F37,D$10-SUM(E$17:E37))</f>
        <v>31679.14788167581</v>
      </c>
      <c r="E38" s="484">
        <f>IF(+I14&lt;F37,I14,D38)</f>
        <v>1336.5</v>
      </c>
      <c r="F38" s="485">
        <f t="shared" si="20"/>
        <v>30342.64788167581</v>
      </c>
      <c r="G38" s="486">
        <f t="shared" si="21"/>
        <v>4679.8235342249354</v>
      </c>
      <c r="H38" s="455">
        <f t="shared" si="22"/>
        <v>4679.8235342249354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2028</v>
      </c>
      <c r="D39" s="485">
        <f>IF(F38+SUM(E$17:E38)=D$10,F38,D$10-SUM(E$17:E38))</f>
        <v>30342.64788167581</v>
      </c>
      <c r="E39" s="484">
        <f>IF(+I14&lt;F38,I14,D39)</f>
        <v>1336.5</v>
      </c>
      <c r="F39" s="485">
        <f t="shared" si="20"/>
        <v>29006.14788167581</v>
      </c>
      <c r="G39" s="486">
        <f t="shared" si="21"/>
        <v>4535.7338042035435</v>
      </c>
      <c r="H39" s="455">
        <f t="shared" si="22"/>
        <v>4535.7338042035435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2029</v>
      </c>
      <c r="D40" s="485">
        <f>IF(F39+SUM(E$17:E39)=D$10,F39,D$10-SUM(E$17:E39))</f>
        <v>29006.14788167581</v>
      </c>
      <c r="E40" s="484">
        <f>IF(+I14&lt;F39,I14,D40)</f>
        <v>1336.5</v>
      </c>
      <c r="F40" s="485">
        <f t="shared" si="20"/>
        <v>27669.64788167581</v>
      </c>
      <c r="G40" s="486">
        <f t="shared" si="21"/>
        <v>4391.6440741821516</v>
      </c>
      <c r="H40" s="455">
        <f t="shared" si="22"/>
        <v>4391.6440741821516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2030</v>
      </c>
      <c r="D41" s="485">
        <f>IF(F40+SUM(E$17:E40)=D$10,F40,D$10-SUM(E$17:E40))</f>
        <v>27669.64788167581</v>
      </c>
      <c r="E41" s="484">
        <f>IF(+I14&lt;F40,I14,D41)</f>
        <v>1336.5</v>
      </c>
      <c r="F41" s="485">
        <f t="shared" si="20"/>
        <v>26333.14788167581</v>
      </c>
      <c r="G41" s="486">
        <f t="shared" si="21"/>
        <v>4247.5543441607588</v>
      </c>
      <c r="H41" s="455">
        <f t="shared" si="22"/>
        <v>4247.5543441607588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2031</v>
      </c>
      <c r="D42" s="485">
        <f>IF(F41+SUM(E$17:E41)=D$10,F41,D$10-SUM(E$17:E41))</f>
        <v>26333.14788167581</v>
      </c>
      <c r="E42" s="484">
        <f>IF(+I14&lt;F41,I14,D42)</f>
        <v>1336.5</v>
      </c>
      <c r="F42" s="485">
        <f t="shared" si="20"/>
        <v>24996.64788167581</v>
      </c>
      <c r="G42" s="486">
        <f t="shared" si="21"/>
        <v>4103.4646141393678</v>
      </c>
      <c r="H42" s="455">
        <f t="shared" si="22"/>
        <v>4103.4646141393678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2032</v>
      </c>
      <c r="D43" s="485">
        <f>IF(F42+SUM(E$17:E42)=D$10,F42,D$10-SUM(E$17:E42))</f>
        <v>24996.64788167581</v>
      </c>
      <c r="E43" s="484">
        <f>IF(+I14&lt;F42,I14,D43)</f>
        <v>1336.5</v>
      </c>
      <c r="F43" s="485">
        <f t="shared" si="20"/>
        <v>23660.14788167581</v>
      </c>
      <c r="G43" s="486">
        <f t="shared" si="21"/>
        <v>3959.3748841179754</v>
      </c>
      <c r="H43" s="455">
        <f t="shared" si="22"/>
        <v>3959.3748841179754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2033</v>
      </c>
      <c r="D44" s="485">
        <f>IF(F43+SUM(E$17:E43)=D$10,F43,D$10-SUM(E$17:E43))</f>
        <v>23660.14788167581</v>
      </c>
      <c r="E44" s="484">
        <f>IF(+I14&lt;F43,I14,D44)</f>
        <v>1336.5</v>
      </c>
      <c r="F44" s="485">
        <f t="shared" si="20"/>
        <v>22323.64788167581</v>
      </c>
      <c r="G44" s="486">
        <f t="shared" si="21"/>
        <v>3815.285154096583</v>
      </c>
      <c r="H44" s="455">
        <f t="shared" si="22"/>
        <v>3815.285154096583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2034</v>
      </c>
      <c r="D45" s="485">
        <f>IF(F44+SUM(E$17:E44)=D$10,F44,D$10-SUM(E$17:E44))</f>
        <v>22323.64788167581</v>
      </c>
      <c r="E45" s="484">
        <f>IF(+I14&lt;F44,I14,D45)</f>
        <v>1336.5</v>
      </c>
      <c r="F45" s="485">
        <f t="shared" si="20"/>
        <v>20987.14788167581</v>
      </c>
      <c r="G45" s="486">
        <f t="shared" si="21"/>
        <v>3671.1954240751911</v>
      </c>
      <c r="H45" s="455">
        <f t="shared" si="22"/>
        <v>3671.1954240751911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2035</v>
      </c>
      <c r="D46" s="485">
        <f>IF(F45+SUM(E$17:E45)=D$10,F45,D$10-SUM(E$17:E45))</f>
        <v>20987.14788167581</v>
      </c>
      <c r="E46" s="484">
        <f>IF(+I14&lt;F45,I14,D46)</f>
        <v>1336.5</v>
      </c>
      <c r="F46" s="485">
        <f t="shared" si="20"/>
        <v>19650.64788167581</v>
      </c>
      <c r="G46" s="486">
        <f t="shared" si="21"/>
        <v>3527.1056940537992</v>
      </c>
      <c r="H46" s="455">
        <f t="shared" si="22"/>
        <v>3527.1056940537992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2036</v>
      </c>
      <c r="D47" s="485">
        <f>IF(F46+SUM(E$17:E46)=D$10,F46,D$10-SUM(E$17:E46))</f>
        <v>19650.64788167581</v>
      </c>
      <c r="E47" s="484">
        <f>IF(+I14&lt;F46,I14,D47)</f>
        <v>1336.5</v>
      </c>
      <c r="F47" s="485">
        <f t="shared" si="20"/>
        <v>18314.14788167581</v>
      </c>
      <c r="G47" s="486">
        <f t="shared" si="21"/>
        <v>3383.0159640324073</v>
      </c>
      <c r="H47" s="455">
        <f t="shared" si="22"/>
        <v>3383.0159640324073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2037</v>
      </c>
      <c r="D48" s="485">
        <f>IF(F47+SUM(E$17:E47)=D$10,F47,D$10-SUM(E$17:E47))</f>
        <v>18314.14788167581</v>
      </c>
      <c r="E48" s="484">
        <f>IF(+I14&lt;F47,I14,D48)</f>
        <v>1336.5</v>
      </c>
      <c r="F48" s="485">
        <f t="shared" si="20"/>
        <v>16977.64788167581</v>
      </c>
      <c r="G48" s="486">
        <f t="shared" si="21"/>
        <v>3238.9262340110149</v>
      </c>
      <c r="H48" s="455">
        <f t="shared" si="22"/>
        <v>3238.9262340110149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2038</v>
      </c>
      <c r="D49" s="485">
        <f>IF(F48+SUM(E$17:E48)=D$10,F48,D$10-SUM(E$17:E48))</f>
        <v>16977.64788167581</v>
      </c>
      <c r="E49" s="484">
        <f>IF(+I14&lt;F48,I14,D49)</f>
        <v>1336.5</v>
      </c>
      <c r="F49" s="485">
        <f t="shared" ref="F49:F72" si="23">+D49-E49</f>
        <v>15641.14788167581</v>
      </c>
      <c r="G49" s="486">
        <f t="shared" si="21"/>
        <v>3094.836503989623</v>
      </c>
      <c r="H49" s="455">
        <f t="shared" si="22"/>
        <v>3094.836503989623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3"/>
    </row>
    <row r="50" spans="2:16">
      <c r="B50" s="160" t="str">
        <f t="shared" si="4"/>
        <v/>
      </c>
      <c r="C50" s="472">
        <f>IF(D11="","-",+C49+1)</f>
        <v>2039</v>
      </c>
      <c r="D50" s="485">
        <f>IF(F49+SUM(E$17:E49)=D$10,F49,D$10-SUM(E$17:E49))</f>
        <v>15641.14788167581</v>
      </c>
      <c r="E50" s="484">
        <f>IF(+I14&lt;F49,I14,D50)</f>
        <v>1336.5</v>
      </c>
      <c r="F50" s="485">
        <f t="shared" si="23"/>
        <v>14304.64788167581</v>
      </c>
      <c r="G50" s="486">
        <f t="shared" si="21"/>
        <v>2950.7467739682306</v>
      </c>
      <c r="H50" s="455">
        <f t="shared" si="22"/>
        <v>2950.7467739682306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3"/>
    </row>
    <row r="51" spans="2:16">
      <c r="B51" s="160" t="str">
        <f t="shared" si="4"/>
        <v/>
      </c>
      <c r="C51" s="472">
        <f>IF(D11="","-",+C50+1)</f>
        <v>2040</v>
      </c>
      <c r="D51" s="485">
        <f>IF(F50+SUM(E$17:E50)=D$10,F50,D$10-SUM(E$17:E50))</f>
        <v>14304.64788167581</v>
      </c>
      <c r="E51" s="484">
        <f>IF(+I14&lt;F50,I14,D51)</f>
        <v>1336.5</v>
      </c>
      <c r="F51" s="485">
        <f t="shared" si="23"/>
        <v>12968.14788167581</v>
      </c>
      <c r="G51" s="486">
        <f t="shared" si="21"/>
        <v>2806.6570439468387</v>
      </c>
      <c r="H51" s="455">
        <f t="shared" si="22"/>
        <v>2806.6570439468387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3"/>
    </row>
    <row r="52" spans="2:16">
      <c r="B52" s="160" t="str">
        <f t="shared" si="4"/>
        <v/>
      </c>
      <c r="C52" s="472">
        <f>IF(D11="","-",+C51+1)</f>
        <v>2041</v>
      </c>
      <c r="D52" s="485">
        <f>IF(F51+SUM(E$17:E51)=D$10,F51,D$10-SUM(E$17:E51))</f>
        <v>12968.14788167581</v>
      </c>
      <c r="E52" s="484">
        <f>IF(+I14&lt;F51,I14,D52)</f>
        <v>1336.5</v>
      </c>
      <c r="F52" s="485">
        <f t="shared" si="23"/>
        <v>11631.64788167581</v>
      </c>
      <c r="G52" s="486">
        <f t="shared" si="21"/>
        <v>2662.5673139254468</v>
      </c>
      <c r="H52" s="455">
        <f t="shared" si="22"/>
        <v>2662.5673139254468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3"/>
    </row>
    <row r="53" spans="2:16">
      <c r="B53" s="160" t="str">
        <f t="shared" si="4"/>
        <v/>
      </c>
      <c r="C53" s="472">
        <f>IF(D11="","-",+C52+1)</f>
        <v>2042</v>
      </c>
      <c r="D53" s="485">
        <f>IF(F52+SUM(E$17:E52)=D$10,F52,D$10-SUM(E$17:E52))</f>
        <v>11631.64788167581</v>
      </c>
      <c r="E53" s="484">
        <f>IF(+I14&lt;F52,I14,D53)</f>
        <v>1336.5</v>
      </c>
      <c r="F53" s="485">
        <f t="shared" si="23"/>
        <v>10295.14788167581</v>
      </c>
      <c r="G53" s="486">
        <f t="shared" si="21"/>
        <v>2518.4775839040549</v>
      </c>
      <c r="H53" s="455">
        <f t="shared" si="22"/>
        <v>2518.4775839040549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3"/>
    </row>
    <row r="54" spans="2:16">
      <c r="B54" s="160" t="str">
        <f t="shared" si="4"/>
        <v/>
      </c>
      <c r="C54" s="472">
        <f>IF(D11="","-",+C53+1)</f>
        <v>2043</v>
      </c>
      <c r="D54" s="485">
        <f>IF(F53+SUM(E$17:E53)=D$10,F53,D$10-SUM(E$17:E53))</f>
        <v>10295.14788167581</v>
      </c>
      <c r="E54" s="484">
        <f>IF(+I14&lt;F53,I14,D54)</f>
        <v>1336.5</v>
      </c>
      <c r="F54" s="485">
        <f t="shared" si="23"/>
        <v>8958.6478816758099</v>
      </c>
      <c r="G54" s="486">
        <f t="shared" si="21"/>
        <v>2374.3878538826625</v>
      </c>
      <c r="H54" s="455">
        <f t="shared" si="22"/>
        <v>2374.3878538826625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3"/>
    </row>
    <row r="55" spans="2:16">
      <c r="B55" s="160" t="str">
        <f t="shared" si="4"/>
        <v/>
      </c>
      <c r="C55" s="472">
        <f>IF(D11="","-",+C54+1)</f>
        <v>2044</v>
      </c>
      <c r="D55" s="485">
        <f>IF(F54+SUM(E$17:E54)=D$10,F54,D$10-SUM(E$17:E54))</f>
        <v>8958.6478816758099</v>
      </c>
      <c r="E55" s="484">
        <f>IF(+I14&lt;F54,I14,D55)</f>
        <v>1336.5</v>
      </c>
      <c r="F55" s="485">
        <f t="shared" si="23"/>
        <v>7622.1478816758099</v>
      </c>
      <c r="G55" s="486">
        <f t="shared" si="21"/>
        <v>2230.2981238612706</v>
      </c>
      <c r="H55" s="455">
        <f t="shared" si="22"/>
        <v>2230.2981238612706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3"/>
    </row>
    <row r="56" spans="2:16">
      <c r="B56" s="160" t="str">
        <f t="shared" si="4"/>
        <v/>
      </c>
      <c r="C56" s="472">
        <f>IF(D11="","-",+C55+1)</f>
        <v>2045</v>
      </c>
      <c r="D56" s="485">
        <f>IF(F55+SUM(E$17:E55)=D$10,F55,D$10-SUM(E$17:E55))</f>
        <v>7622.1478816758099</v>
      </c>
      <c r="E56" s="484">
        <f>IF(+I14&lt;F55,I14,D56)</f>
        <v>1336.5</v>
      </c>
      <c r="F56" s="485">
        <f t="shared" si="23"/>
        <v>6285.6478816758099</v>
      </c>
      <c r="G56" s="486">
        <f t="shared" si="21"/>
        <v>2086.2083938398782</v>
      </c>
      <c r="H56" s="455">
        <f t="shared" si="22"/>
        <v>2086.2083938398782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3"/>
    </row>
    <row r="57" spans="2:16">
      <c r="B57" s="160" t="str">
        <f t="shared" si="4"/>
        <v/>
      </c>
      <c r="C57" s="472">
        <f>IF(D11="","-",+C56+1)</f>
        <v>2046</v>
      </c>
      <c r="D57" s="485">
        <f>IF(F56+SUM(E$17:E56)=D$10,F56,D$10-SUM(E$17:E56))</f>
        <v>6285.6478816758099</v>
      </c>
      <c r="E57" s="484">
        <f>IF(+I14&lt;F56,I14,D57)</f>
        <v>1336.5</v>
      </c>
      <c r="F57" s="485">
        <f t="shared" si="23"/>
        <v>4949.1478816758099</v>
      </c>
      <c r="G57" s="486">
        <f t="shared" si="21"/>
        <v>1942.1186638184863</v>
      </c>
      <c r="H57" s="455">
        <f t="shared" si="22"/>
        <v>1942.1186638184863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3"/>
    </row>
    <row r="58" spans="2:16">
      <c r="B58" s="160" t="str">
        <f t="shared" si="4"/>
        <v/>
      </c>
      <c r="C58" s="472">
        <f>IF(D11="","-",+C57+1)</f>
        <v>2047</v>
      </c>
      <c r="D58" s="485">
        <f>IF(F57+SUM(E$17:E57)=D$10,F57,D$10-SUM(E$17:E57))</f>
        <v>4949.1478816758099</v>
      </c>
      <c r="E58" s="484">
        <f>IF(+I14&lt;F57,I14,D58)</f>
        <v>1336.5</v>
      </c>
      <c r="F58" s="485">
        <f t="shared" si="23"/>
        <v>3612.6478816758099</v>
      </c>
      <c r="G58" s="486">
        <f t="shared" si="21"/>
        <v>1798.0289337970944</v>
      </c>
      <c r="H58" s="455">
        <f t="shared" si="22"/>
        <v>1798.0289337970944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3"/>
    </row>
    <row r="59" spans="2:16">
      <c r="B59" s="160" t="str">
        <f t="shared" si="4"/>
        <v/>
      </c>
      <c r="C59" s="472">
        <f>IF(D11="","-",+C58+1)</f>
        <v>2048</v>
      </c>
      <c r="D59" s="485">
        <f>IF(F58+SUM(E$17:E58)=D$10,F58,D$10-SUM(E$17:E58))</f>
        <v>3612.6478816758099</v>
      </c>
      <c r="E59" s="484">
        <f>IF(+I14&lt;F58,I14,D59)</f>
        <v>1336.5</v>
      </c>
      <c r="F59" s="485">
        <f t="shared" si="23"/>
        <v>2276.1478816758099</v>
      </c>
      <c r="G59" s="486">
        <f t="shared" si="21"/>
        <v>1653.9392037757023</v>
      </c>
      <c r="H59" s="455">
        <f t="shared" si="22"/>
        <v>1653.9392037757023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3"/>
    </row>
    <row r="60" spans="2:16">
      <c r="B60" s="160" t="str">
        <f t="shared" si="4"/>
        <v/>
      </c>
      <c r="C60" s="472">
        <f>IF(D11="","-",+C59+1)</f>
        <v>2049</v>
      </c>
      <c r="D60" s="485">
        <f>IF(F59+SUM(E$17:E59)=D$10,F59,D$10-SUM(E$17:E59))</f>
        <v>2276.1478816758099</v>
      </c>
      <c r="E60" s="484">
        <f>IF(+I14&lt;F59,I14,D60)</f>
        <v>1336.5</v>
      </c>
      <c r="F60" s="485">
        <f t="shared" si="23"/>
        <v>939.64788167580991</v>
      </c>
      <c r="G60" s="486">
        <f t="shared" si="21"/>
        <v>1509.8494737543103</v>
      </c>
      <c r="H60" s="455">
        <f t="shared" si="22"/>
        <v>1509.8494737543103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3"/>
    </row>
    <row r="61" spans="2:16">
      <c r="B61" s="160" t="str">
        <f t="shared" si="4"/>
        <v/>
      </c>
      <c r="C61" s="472">
        <f>IF(D11="","-",+C60+1)</f>
        <v>2050</v>
      </c>
      <c r="D61" s="485">
        <f>IF(F60+SUM(E$17:E60)=D$10,F60,D$10-SUM(E$17:E60))</f>
        <v>939.64788167580991</v>
      </c>
      <c r="E61" s="484">
        <f>IF(+I14&lt;F60,I14,D61)</f>
        <v>939.64788167580991</v>
      </c>
      <c r="F61" s="485">
        <f t="shared" si="23"/>
        <v>0</v>
      </c>
      <c r="G61" s="486">
        <f t="shared" si="21"/>
        <v>990.30018604761699</v>
      </c>
      <c r="H61" s="455">
        <f t="shared" si="22"/>
        <v>990.30018604761699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3"/>
    </row>
    <row r="62" spans="2:16">
      <c r="B62" s="160" t="str">
        <f t="shared" si="4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6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3"/>
    </row>
    <row r="63" spans="2:16">
      <c r="B63" s="565" t="str">
        <f t="shared" si="4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3"/>
    </row>
    <row r="64" spans="2:16">
      <c r="B64" s="160" t="str">
        <f t="shared" si="4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3"/>
    </row>
    <row r="65" spans="2:16">
      <c r="B65" s="160" t="str">
        <f t="shared" si="4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3"/>
    </row>
    <row r="66" spans="2:16">
      <c r="B66" s="160" t="str">
        <f t="shared" si="4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3"/>
    </row>
    <row r="67" spans="2:16">
      <c r="B67" s="160" t="str">
        <f t="shared" si="4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3"/>
    </row>
    <row r="68" spans="2:16">
      <c r="B68" s="160" t="str">
        <f t="shared" si="4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3"/>
    </row>
    <row r="69" spans="2:16">
      <c r="B69" s="160" t="str">
        <f t="shared" si="4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3"/>
    </row>
    <row r="70" spans="2:16">
      <c r="B70" s="160" t="str">
        <f t="shared" si="4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3"/>
    </row>
    <row r="71" spans="2:16">
      <c r="B71" s="160" t="str">
        <f t="shared" si="4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si="21"/>
        <v>0</v>
      </c>
      <c r="H72" s="490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3"/>
    </row>
    <row r="73" spans="2:16">
      <c r="C73" s="347" t="s">
        <v>77</v>
      </c>
      <c r="D73" s="348"/>
      <c r="E73" s="348">
        <f>SUM(E17:E72)</f>
        <v>56133.000000000007</v>
      </c>
      <c r="F73" s="348"/>
      <c r="G73" s="348">
        <f>SUM(G17:G72)</f>
        <v>183245.70951399938</v>
      </c>
      <c r="H73" s="348">
        <f>SUM(H17:H72)</f>
        <v>183245.70951399938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8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5328.2273193212004</v>
      </c>
      <c r="N87" s="508">
        <f>IF(J92&lt;D11,0,VLOOKUP(J92,C17:O72,11))</f>
        <v>5328.2273193212004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5626.9875444770105</v>
      </c>
      <c r="N88" s="512">
        <f>IF(J92&lt;D11,0,VLOOKUP(J92,C99:P154,7))</f>
        <v>5626.9875444770105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Weleetka &amp; Okmulgee Wavetrap replacement 81-805*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298.76022515581008</v>
      </c>
      <c r="N89" s="517">
        <f>+N88-N87</f>
        <v>298.76022515581008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TP2005046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56133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1439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v>0</v>
      </c>
      <c r="E99" s="480">
        <v>0</v>
      </c>
      <c r="F99" s="479">
        <v>56133</v>
      </c>
      <c r="G99" s="537">
        <v>28067</v>
      </c>
      <c r="H99" s="538">
        <v>0</v>
      </c>
      <c r="I99" s="539">
        <v>0</v>
      </c>
      <c r="J99" s="478">
        <f t="shared" ref="J99:J130" si="28">+I99-H99</f>
        <v>0</v>
      </c>
      <c r="K99" s="478"/>
      <c r="L99" s="554">
        <v>0</v>
      </c>
      <c r="M99" s="477">
        <f t="shared" ref="M99:M130" si="29">IF(L99&lt;&gt;0,+H99-L99,0)</f>
        <v>0</v>
      </c>
      <c r="N99" s="554">
        <v>0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>
      <c r="B100" s="160" t="str">
        <f>IF(D100=F99,"","IU")</f>
        <v/>
      </c>
      <c r="C100" s="472">
        <f>IF(D93="","-",+C99+1)</f>
        <v>2007</v>
      </c>
      <c r="D100" s="473">
        <v>56133</v>
      </c>
      <c r="E100" s="480">
        <v>1059</v>
      </c>
      <c r="F100" s="479">
        <v>55074</v>
      </c>
      <c r="G100" s="479">
        <v>55603</v>
      </c>
      <c r="H100" s="480">
        <v>0</v>
      </c>
      <c r="I100" s="481">
        <v>0</v>
      </c>
      <c r="J100" s="478">
        <f t="shared" si="28"/>
        <v>0</v>
      </c>
      <c r="K100" s="478"/>
      <c r="L100" s="476">
        <v>0</v>
      </c>
      <c r="M100" s="478">
        <f t="shared" si="29"/>
        <v>0</v>
      </c>
      <c r="N100" s="476">
        <v>0</v>
      </c>
      <c r="O100" s="478">
        <f t="shared" si="30"/>
        <v>0</v>
      </c>
      <c r="P100" s="478">
        <f t="shared" si="31"/>
        <v>0</v>
      </c>
    </row>
    <row r="101" spans="1:16">
      <c r="B101" s="160" t="str">
        <f t="shared" ref="B101:B154" si="32">IF(D101=F100,"","IU")</f>
        <v/>
      </c>
      <c r="C101" s="472">
        <f>IF(D93="","-",+C100+1)</f>
        <v>2008</v>
      </c>
      <c r="D101" s="473">
        <v>55074</v>
      </c>
      <c r="E101" s="480">
        <v>1059</v>
      </c>
      <c r="F101" s="479">
        <v>54015</v>
      </c>
      <c r="G101" s="479">
        <v>54544</v>
      </c>
      <c r="H101" s="480">
        <v>9723</v>
      </c>
      <c r="I101" s="481">
        <v>9723</v>
      </c>
      <c r="J101" s="478">
        <f t="shared" si="28"/>
        <v>0</v>
      </c>
      <c r="K101" s="478"/>
      <c r="L101" s="476">
        <v>9723</v>
      </c>
      <c r="M101" s="478">
        <f t="shared" si="29"/>
        <v>0</v>
      </c>
      <c r="N101" s="476">
        <v>9723</v>
      </c>
      <c r="O101" s="478">
        <f t="shared" si="30"/>
        <v>0</v>
      </c>
      <c r="P101" s="478">
        <f t="shared" si="31"/>
        <v>0</v>
      </c>
    </row>
    <row r="102" spans="1:16">
      <c r="B102" s="160" t="str">
        <f t="shared" si="32"/>
        <v/>
      </c>
      <c r="C102" s="472">
        <f>IF(D93="","-",+C101+1)</f>
        <v>2009</v>
      </c>
      <c r="D102" s="473">
        <v>54015</v>
      </c>
      <c r="E102" s="480">
        <v>1002</v>
      </c>
      <c r="F102" s="479">
        <v>53013</v>
      </c>
      <c r="G102" s="479">
        <v>53514</v>
      </c>
      <c r="H102" s="480">
        <v>8826.1899911613018</v>
      </c>
      <c r="I102" s="481">
        <v>8826.1899911613018</v>
      </c>
      <c r="J102" s="478">
        <f t="shared" si="28"/>
        <v>0</v>
      </c>
      <c r="K102" s="478"/>
      <c r="L102" s="540">
        <f t="shared" ref="L102:L107" si="33">H102</f>
        <v>8826.1899911613018</v>
      </c>
      <c r="M102" s="541">
        <f t="shared" si="29"/>
        <v>0</v>
      </c>
      <c r="N102" s="540">
        <f t="shared" ref="N102:N107" si="34">I102</f>
        <v>8826.1899911613018</v>
      </c>
      <c r="O102" s="478">
        <f t="shared" si="30"/>
        <v>0</v>
      </c>
      <c r="P102" s="478">
        <f t="shared" si="31"/>
        <v>0</v>
      </c>
    </row>
    <row r="103" spans="1:16">
      <c r="B103" s="160" t="str">
        <f t="shared" si="32"/>
        <v/>
      </c>
      <c r="C103" s="472">
        <f>IF(D93="","-",+C102+1)</f>
        <v>2010</v>
      </c>
      <c r="D103" s="473">
        <v>53013</v>
      </c>
      <c r="E103" s="480">
        <v>1101</v>
      </c>
      <c r="F103" s="479">
        <v>51912</v>
      </c>
      <c r="G103" s="479">
        <v>52462.5</v>
      </c>
      <c r="H103" s="480">
        <v>9537.7685710444202</v>
      </c>
      <c r="I103" s="481">
        <v>9537.7685710444202</v>
      </c>
      <c r="J103" s="478">
        <f t="shared" si="28"/>
        <v>0</v>
      </c>
      <c r="K103" s="478"/>
      <c r="L103" s="540">
        <f t="shared" si="33"/>
        <v>9537.7685710444202</v>
      </c>
      <c r="M103" s="541">
        <f t="shared" si="29"/>
        <v>0</v>
      </c>
      <c r="N103" s="540">
        <f t="shared" si="34"/>
        <v>9537.7685710444202</v>
      </c>
      <c r="O103" s="478">
        <f t="shared" si="30"/>
        <v>0</v>
      </c>
      <c r="P103" s="478">
        <f t="shared" si="31"/>
        <v>0</v>
      </c>
    </row>
    <row r="104" spans="1:16">
      <c r="B104" s="160" t="str">
        <f t="shared" si="32"/>
        <v/>
      </c>
      <c r="C104" s="472">
        <f>IF(D93="","-",+C103+1)</f>
        <v>2011</v>
      </c>
      <c r="D104" s="473">
        <v>51912</v>
      </c>
      <c r="E104" s="480">
        <v>1079</v>
      </c>
      <c r="F104" s="479">
        <v>50833</v>
      </c>
      <c r="G104" s="479">
        <v>51372.5</v>
      </c>
      <c r="H104" s="480">
        <v>8261.5658402233203</v>
      </c>
      <c r="I104" s="481">
        <v>8261.5658402233203</v>
      </c>
      <c r="J104" s="478">
        <f t="shared" si="28"/>
        <v>0</v>
      </c>
      <c r="K104" s="478"/>
      <c r="L104" s="540">
        <f t="shared" si="33"/>
        <v>8261.5658402233203</v>
      </c>
      <c r="M104" s="541">
        <f t="shared" si="29"/>
        <v>0</v>
      </c>
      <c r="N104" s="540">
        <f t="shared" si="34"/>
        <v>8261.5658402233203</v>
      </c>
      <c r="O104" s="478">
        <f t="shared" si="30"/>
        <v>0</v>
      </c>
      <c r="P104" s="478">
        <f t="shared" si="31"/>
        <v>0</v>
      </c>
    </row>
    <row r="105" spans="1:16">
      <c r="B105" s="160" t="str">
        <f t="shared" si="32"/>
        <v/>
      </c>
      <c r="C105" s="472">
        <f>IF(D93="","-",+C104+1)</f>
        <v>2012</v>
      </c>
      <c r="D105" s="473">
        <v>50833</v>
      </c>
      <c r="E105" s="480">
        <v>1079</v>
      </c>
      <c r="F105" s="479">
        <v>49754</v>
      </c>
      <c r="G105" s="479">
        <v>50293.5</v>
      </c>
      <c r="H105" s="480">
        <v>8313.995673781943</v>
      </c>
      <c r="I105" s="481">
        <v>8313.995673781943</v>
      </c>
      <c r="J105" s="478">
        <v>0</v>
      </c>
      <c r="K105" s="478"/>
      <c r="L105" s="540">
        <f t="shared" si="33"/>
        <v>8313.995673781943</v>
      </c>
      <c r="M105" s="541">
        <f t="shared" ref="M105:M110" si="35">IF(L105&lt;&gt;0,+H105-L105,0)</f>
        <v>0</v>
      </c>
      <c r="N105" s="540">
        <f t="shared" si="34"/>
        <v>8313.995673781943</v>
      </c>
      <c r="O105" s="478">
        <f t="shared" ref="O105:O110" si="36">IF(N105&lt;&gt;0,+I105-N105,0)</f>
        <v>0</v>
      </c>
      <c r="P105" s="478">
        <f t="shared" ref="P105:P110" si="37">+O105-M105</f>
        <v>0</v>
      </c>
    </row>
    <row r="106" spans="1:16">
      <c r="B106" s="160" t="str">
        <f t="shared" si="32"/>
        <v/>
      </c>
      <c r="C106" s="472">
        <f>IF(D93="","-",+C105+1)</f>
        <v>2013</v>
      </c>
      <c r="D106" s="473">
        <v>49754</v>
      </c>
      <c r="E106" s="480">
        <v>1079</v>
      </c>
      <c r="F106" s="479">
        <v>48675</v>
      </c>
      <c r="G106" s="479">
        <v>49214.5</v>
      </c>
      <c r="H106" s="480">
        <v>8162.9151459393179</v>
      </c>
      <c r="I106" s="481">
        <v>8162.9151459393179</v>
      </c>
      <c r="J106" s="478">
        <v>0</v>
      </c>
      <c r="K106" s="478"/>
      <c r="L106" s="540">
        <f t="shared" si="33"/>
        <v>8162.9151459393179</v>
      </c>
      <c r="M106" s="541">
        <f t="shared" si="35"/>
        <v>0</v>
      </c>
      <c r="N106" s="540">
        <f t="shared" si="34"/>
        <v>8162.9151459393179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2"/>
        <v/>
      </c>
      <c r="C107" s="472">
        <f>IF(D93="","-",+C106+1)</f>
        <v>2014</v>
      </c>
      <c r="D107" s="473">
        <v>48675</v>
      </c>
      <c r="E107" s="480">
        <v>1079</v>
      </c>
      <c r="F107" s="479">
        <v>47596</v>
      </c>
      <c r="G107" s="479">
        <v>48135.5</v>
      </c>
      <c r="H107" s="480">
        <v>7846.6545337569178</v>
      </c>
      <c r="I107" s="481">
        <v>7846.6545337569178</v>
      </c>
      <c r="J107" s="478">
        <v>0</v>
      </c>
      <c r="K107" s="478"/>
      <c r="L107" s="540">
        <f t="shared" si="33"/>
        <v>7846.6545337569178</v>
      </c>
      <c r="M107" s="541">
        <f t="shared" si="35"/>
        <v>0</v>
      </c>
      <c r="N107" s="540">
        <f t="shared" si="34"/>
        <v>7846.6545337569178</v>
      </c>
      <c r="O107" s="478">
        <f t="shared" si="36"/>
        <v>0</v>
      </c>
      <c r="P107" s="478">
        <f t="shared" si="37"/>
        <v>0</v>
      </c>
    </row>
    <row r="108" spans="1:16">
      <c r="B108" s="160" t="str">
        <f t="shared" si="32"/>
        <v/>
      </c>
      <c r="C108" s="472">
        <f>IF(D93="","-",+C107+1)</f>
        <v>2015</v>
      </c>
      <c r="D108" s="473">
        <v>47596</v>
      </c>
      <c r="E108" s="480">
        <v>1079</v>
      </c>
      <c r="F108" s="479">
        <v>46517</v>
      </c>
      <c r="G108" s="479">
        <v>47056.5</v>
      </c>
      <c r="H108" s="480">
        <v>7499.4810720950254</v>
      </c>
      <c r="I108" s="481">
        <v>7499.4810720950254</v>
      </c>
      <c r="J108" s="478">
        <f t="shared" si="28"/>
        <v>0</v>
      </c>
      <c r="K108" s="478"/>
      <c r="L108" s="540">
        <f t="shared" ref="L108:L113" si="38">H108</f>
        <v>7499.4810720950254</v>
      </c>
      <c r="M108" s="541">
        <f t="shared" si="35"/>
        <v>0</v>
      </c>
      <c r="N108" s="540">
        <f t="shared" ref="N108:N113" si="39">I108</f>
        <v>7499.4810720950254</v>
      </c>
      <c r="O108" s="478">
        <f t="shared" si="36"/>
        <v>0</v>
      </c>
      <c r="P108" s="478">
        <f t="shared" si="37"/>
        <v>0</v>
      </c>
    </row>
    <row r="109" spans="1:16">
      <c r="B109" s="160" t="str">
        <f t="shared" si="32"/>
        <v/>
      </c>
      <c r="C109" s="472">
        <f>IF(D93="","-",+C108+1)</f>
        <v>2016</v>
      </c>
      <c r="D109" s="473">
        <v>46517</v>
      </c>
      <c r="E109" s="480">
        <v>1220</v>
      </c>
      <c r="F109" s="479">
        <v>45297</v>
      </c>
      <c r="G109" s="479">
        <v>45907</v>
      </c>
      <c r="H109" s="480">
        <v>7138.135283574793</v>
      </c>
      <c r="I109" s="481">
        <v>7138.135283574793</v>
      </c>
      <c r="J109" s="478">
        <f t="shared" si="28"/>
        <v>0</v>
      </c>
      <c r="K109" s="478"/>
      <c r="L109" s="540">
        <f t="shared" si="38"/>
        <v>7138.135283574793</v>
      </c>
      <c r="M109" s="541">
        <f t="shared" si="35"/>
        <v>0</v>
      </c>
      <c r="N109" s="540">
        <f t="shared" si="39"/>
        <v>7138.135283574793</v>
      </c>
      <c r="O109" s="478">
        <f t="shared" si="36"/>
        <v>0</v>
      </c>
      <c r="P109" s="478">
        <f t="shared" si="37"/>
        <v>0</v>
      </c>
    </row>
    <row r="110" spans="1:16">
      <c r="B110" s="160" t="str">
        <f t="shared" si="32"/>
        <v/>
      </c>
      <c r="C110" s="472">
        <f>IF(D93="","-",+C109+1)</f>
        <v>2017</v>
      </c>
      <c r="D110" s="473">
        <v>45297</v>
      </c>
      <c r="E110" s="480">
        <v>1220</v>
      </c>
      <c r="F110" s="479">
        <v>44077</v>
      </c>
      <c r="G110" s="479">
        <v>44687</v>
      </c>
      <c r="H110" s="480">
        <v>6888.6586283105316</v>
      </c>
      <c r="I110" s="481">
        <v>6888.6586283105316</v>
      </c>
      <c r="J110" s="478">
        <f t="shared" si="28"/>
        <v>0</v>
      </c>
      <c r="K110" s="478"/>
      <c r="L110" s="540">
        <f t="shared" si="38"/>
        <v>6888.6586283105316</v>
      </c>
      <c r="M110" s="541">
        <f t="shared" si="35"/>
        <v>0</v>
      </c>
      <c r="N110" s="540">
        <f t="shared" si="39"/>
        <v>6888.6586283105316</v>
      </c>
      <c r="O110" s="478">
        <f t="shared" si="36"/>
        <v>0</v>
      </c>
      <c r="P110" s="478">
        <f t="shared" si="37"/>
        <v>0</v>
      </c>
    </row>
    <row r="111" spans="1:16">
      <c r="B111" s="160" t="str">
        <f t="shared" si="32"/>
        <v/>
      </c>
      <c r="C111" s="472">
        <f>IF(D93="","-",+C110+1)</f>
        <v>2018</v>
      </c>
      <c r="D111" s="473">
        <v>44077</v>
      </c>
      <c r="E111" s="480">
        <v>1305</v>
      </c>
      <c r="F111" s="479">
        <v>42772</v>
      </c>
      <c r="G111" s="479">
        <v>43424.5</v>
      </c>
      <c r="H111" s="480">
        <v>5766.2406216754998</v>
      </c>
      <c r="I111" s="481">
        <v>5766.2406216754998</v>
      </c>
      <c r="J111" s="478">
        <f t="shared" si="28"/>
        <v>0</v>
      </c>
      <c r="K111" s="478"/>
      <c r="L111" s="540">
        <f t="shared" si="38"/>
        <v>5766.2406216754998</v>
      </c>
      <c r="M111" s="541">
        <f t="shared" ref="M111" si="40">IF(L111&lt;&gt;0,+H111-L111,0)</f>
        <v>0</v>
      </c>
      <c r="N111" s="540">
        <f t="shared" si="39"/>
        <v>5766.2406216754998</v>
      </c>
      <c r="O111" s="478">
        <f t="shared" ref="O111" si="41">IF(N111&lt;&gt;0,+I111-N111,0)</f>
        <v>0</v>
      </c>
      <c r="P111" s="478">
        <f t="shared" ref="P111" si="42">+O111-M111</f>
        <v>0</v>
      </c>
    </row>
    <row r="112" spans="1:16">
      <c r="B112" s="160" t="str">
        <f t="shared" si="32"/>
        <v/>
      </c>
      <c r="C112" s="472">
        <f>IF(D93="","-",+C111+1)</f>
        <v>2019</v>
      </c>
      <c r="D112" s="473">
        <v>42772</v>
      </c>
      <c r="E112" s="480">
        <v>1369</v>
      </c>
      <c r="F112" s="479">
        <v>41403</v>
      </c>
      <c r="G112" s="479">
        <v>42087.5</v>
      </c>
      <c r="H112" s="480">
        <v>5708.8115726685282</v>
      </c>
      <c r="I112" s="481">
        <v>5708.8115726685282</v>
      </c>
      <c r="J112" s="478">
        <f t="shared" si="28"/>
        <v>0</v>
      </c>
      <c r="K112" s="478"/>
      <c r="L112" s="540">
        <f t="shared" si="38"/>
        <v>5708.8115726685282</v>
      </c>
      <c r="M112" s="541">
        <f t="shared" ref="M112" si="43">IF(L112&lt;&gt;0,+H112-L112,0)</f>
        <v>0</v>
      </c>
      <c r="N112" s="540">
        <f t="shared" si="39"/>
        <v>5708.8115726685282</v>
      </c>
      <c r="O112" s="478">
        <f t="shared" si="30"/>
        <v>0</v>
      </c>
      <c r="P112" s="478">
        <f t="shared" si="31"/>
        <v>0</v>
      </c>
    </row>
    <row r="113" spans="2:16">
      <c r="B113" s="160" t="str">
        <f t="shared" si="32"/>
        <v/>
      </c>
      <c r="C113" s="472">
        <f>IF(D93="","-",+C112+1)</f>
        <v>2020</v>
      </c>
      <c r="D113" s="473">
        <v>41403</v>
      </c>
      <c r="E113" s="480">
        <v>1305</v>
      </c>
      <c r="F113" s="479">
        <v>40098</v>
      </c>
      <c r="G113" s="479">
        <v>40750.5</v>
      </c>
      <c r="H113" s="480">
        <v>6003.4206157380368</v>
      </c>
      <c r="I113" s="481">
        <v>6003.4206157380368</v>
      </c>
      <c r="J113" s="478">
        <f t="shared" si="28"/>
        <v>0</v>
      </c>
      <c r="K113" s="478"/>
      <c r="L113" s="540">
        <f t="shared" si="38"/>
        <v>6003.4206157380368</v>
      </c>
      <c r="M113" s="541">
        <f t="shared" ref="M113" si="44">IF(L113&lt;&gt;0,+H113-L113,0)</f>
        <v>0</v>
      </c>
      <c r="N113" s="540">
        <f t="shared" si="39"/>
        <v>6003.4206157380368</v>
      </c>
      <c r="O113" s="478">
        <f t="shared" si="30"/>
        <v>0</v>
      </c>
      <c r="P113" s="478">
        <f t="shared" si="31"/>
        <v>0</v>
      </c>
    </row>
    <row r="114" spans="2:16">
      <c r="B114" s="160" t="str">
        <f t="shared" si="32"/>
        <v/>
      </c>
      <c r="C114" s="472">
        <f>IF(D93="","-",+C113+1)</f>
        <v>2021</v>
      </c>
      <c r="D114" s="473">
        <v>40098</v>
      </c>
      <c r="E114" s="480">
        <v>1369</v>
      </c>
      <c r="F114" s="479">
        <v>38729</v>
      </c>
      <c r="G114" s="479">
        <v>39413.5</v>
      </c>
      <c r="H114" s="480">
        <v>5853.9722481455983</v>
      </c>
      <c r="I114" s="481">
        <v>5853.9722481455983</v>
      </c>
      <c r="J114" s="478">
        <f t="shared" si="28"/>
        <v>0</v>
      </c>
      <c r="K114" s="478"/>
      <c r="L114" s="540">
        <f t="shared" ref="L114" si="45">H114</f>
        <v>5853.9722481455983</v>
      </c>
      <c r="M114" s="541">
        <f t="shared" ref="M114" si="46">IF(L114&lt;&gt;0,+H114-L114,0)</f>
        <v>0</v>
      </c>
      <c r="N114" s="540">
        <f t="shared" ref="N114" si="47">I114</f>
        <v>5853.9722481455983</v>
      </c>
      <c r="O114" s="478">
        <f t="shared" si="30"/>
        <v>0</v>
      </c>
      <c r="P114" s="478">
        <f t="shared" si="31"/>
        <v>0</v>
      </c>
    </row>
    <row r="115" spans="2:16">
      <c r="B115" s="160" t="str">
        <f t="shared" si="32"/>
        <v/>
      </c>
      <c r="C115" s="472">
        <f>IF(D93="","-",+C114+1)</f>
        <v>2022</v>
      </c>
      <c r="D115" s="347">
        <f>IF(F114+SUM(E$99:E114)=D$92,F114,D$92-SUM(E$99:E114))</f>
        <v>38729</v>
      </c>
      <c r="E115" s="486">
        <f>IF(+J96&lt;F114,J96,D115)</f>
        <v>1439</v>
      </c>
      <c r="F115" s="485">
        <f t="shared" ref="F115:F130" si="48">+D115-E115</f>
        <v>37290</v>
      </c>
      <c r="G115" s="485">
        <f t="shared" ref="G115:G130" si="49">+(F115+D115)/2</f>
        <v>38009.5</v>
      </c>
      <c r="H115" s="486">
        <f t="shared" ref="H115:H153" si="50">(D115+F115)/2*J$94+E115</f>
        <v>5626.9875444770105</v>
      </c>
      <c r="I115" s="542">
        <f t="shared" ref="I115:I153" si="51">+J$95*G115+E115</f>
        <v>5626.9875444770105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>
      <c r="B116" s="160" t="str">
        <f t="shared" si="32"/>
        <v/>
      </c>
      <c r="C116" s="472">
        <f>IF(D93="","-",+C115+1)</f>
        <v>2023</v>
      </c>
      <c r="D116" s="347">
        <f>IF(F115+SUM(E$99:E115)=D$92,F115,D$92-SUM(E$99:E115))</f>
        <v>37290</v>
      </c>
      <c r="E116" s="486">
        <f>IF(+J96&lt;F115,J96,D116)</f>
        <v>1439</v>
      </c>
      <c r="F116" s="485">
        <f t="shared" si="48"/>
        <v>35851</v>
      </c>
      <c r="G116" s="485">
        <f t="shared" si="49"/>
        <v>36570.5</v>
      </c>
      <c r="H116" s="486">
        <f t="shared" si="50"/>
        <v>5468.43470698895</v>
      </c>
      <c r="I116" s="542">
        <f t="shared" si="51"/>
        <v>5468.43470698895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>
      <c r="B117" s="160" t="str">
        <f t="shared" si="32"/>
        <v/>
      </c>
      <c r="C117" s="472">
        <f>IF(D93="","-",+C116+1)</f>
        <v>2024</v>
      </c>
      <c r="D117" s="347">
        <f>IF(F116+SUM(E$99:E116)=D$92,F116,D$92-SUM(E$99:E116))</f>
        <v>35851</v>
      </c>
      <c r="E117" s="486">
        <f>IF(+J96&lt;F116,J96,D117)</f>
        <v>1439</v>
      </c>
      <c r="F117" s="485">
        <f t="shared" si="48"/>
        <v>34412</v>
      </c>
      <c r="G117" s="485">
        <f t="shared" si="49"/>
        <v>35131.5</v>
      </c>
      <c r="H117" s="486">
        <f t="shared" si="50"/>
        <v>5309.8818695008904</v>
      </c>
      <c r="I117" s="542">
        <f t="shared" si="51"/>
        <v>5309.8818695008904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>
      <c r="B118" s="160" t="str">
        <f t="shared" si="32"/>
        <v/>
      </c>
      <c r="C118" s="472">
        <f>IF(D93="","-",+C117+1)</f>
        <v>2025</v>
      </c>
      <c r="D118" s="347">
        <f>IF(F117+SUM(E$99:E117)=D$92,F117,D$92-SUM(E$99:E117))</f>
        <v>34412</v>
      </c>
      <c r="E118" s="486">
        <f>IF(+J96&lt;F117,J96,D118)</f>
        <v>1439</v>
      </c>
      <c r="F118" s="485">
        <f t="shared" si="48"/>
        <v>32973</v>
      </c>
      <c r="G118" s="485">
        <f t="shared" si="49"/>
        <v>33692.5</v>
      </c>
      <c r="H118" s="486">
        <f t="shared" si="50"/>
        <v>5151.3290320128308</v>
      </c>
      <c r="I118" s="542">
        <f t="shared" si="51"/>
        <v>5151.3290320128308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>
      <c r="B119" s="160" t="str">
        <f t="shared" si="32"/>
        <v/>
      </c>
      <c r="C119" s="472">
        <f>IF(D93="","-",+C118+1)</f>
        <v>2026</v>
      </c>
      <c r="D119" s="347">
        <f>IF(F118+SUM(E$99:E118)=D$92,F118,D$92-SUM(E$99:E118))</f>
        <v>32973</v>
      </c>
      <c r="E119" s="486">
        <f>IF(+J96&lt;F118,J96,D119)</f>
        <v>1439</v>
      </c>
      <c r="F119" s="485">
        <f t="shared" si="48"/>
        <v>31534</v>
      </c>
      <c r="G119" s="485">
        <f t="shared" si="49"/>
        <v>32253.5</v>
      </c>
      <c r="H119" s="486">
        <f t="shared" si="50"/>
        <v>4992.7761945247703</v>
      </c>
      <c r="I119" s="542">
        <f t="shared" si="51"/>
        <v>4992.7761945247703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>
      <c r="B120" s="160" t="str">
        <f t="shared" si="32"/>
        <v/>
      </c>
      <c r="C120" s="472">
        <f>IF(D93="","-",+C119+1)</f>
        <v>2027</v>
      </c>
      <c r="D120" s="347">
        <f>IF(F119+SUM(E$99:E119)=D$92,F119,D$92-SUM(E$99:E119))</f>
        <v>31534</v>
      </c>
      <c r="E120" s="486">
        <f>IF(+J96&lt;F119,J96,D120)</f>
        <v>1439</v>
      </c>
      <c r="F120" s="485">
        <f t="shared" si="48"/>
        <v>30095</v>
      </c>
      <c r="G120" s="485">
        <f t="shared" si="49"/>
        <v>30814.5</v>
      </c>
      <c r="H120" s="486">
        <f t="shared" si="50"/>
        <v>4834.2233570367098</v>
      </c>
      <c r="I120" s="542">
        <f t="shared" si="51"/>
        <v>4834.2233570367098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>
      <c r="B121" s="160" t="str">
        <f t="shared" si="32"/>
        <v/>
      </c>
      <c r="C121" s="472">
        <f>IF(D93="","-",+C120+1)</f>
        <v>2028</v>
      </c>
      <c r="D121" s="347">
        <f>IF(F120+SUM(E$99:E120)=D$92,F120,D$92-SUM(E$99:E120))</f>
        <v>30095</v>
      </c>
      <c r="E121" s="486">
        <f>IF(+J96&lt;F120,J96,D121)</f>
        <v>1439</v>
      </c>
      <c r="F121" s="485">
        <f t="shared" si="48"/>
        <v>28656</v>
      </c>
      <c r="G121" s="485">
        <f t="shared" si="49"/>
        <v>29375.5</v>
      </c>
      <c r="H121" s="486">
        <f t="shared" si="50"/>
        <v>4675.6705195486502</v>
      </c>
      <c r="I121" s="542">
        <f t="shared" si="51"/>
        <v>4675.6705195486502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>
      <c r="B122" s="160" t="str">
        <f t="shared" si="32"/>
        <v/>
      </c>
      <c r="C122" s="472">
        <f>IF(D93="","-",+C121+1)</f>
        <v>2029</v>
      </c>
      <c r="D122" s="347">
        <f>IF(F121+SUM(E$99:E121)=D$92,F121,D$92-SUM(E$99:E121))</f>
        <v>28656</v>
      </c>
      <c r="E122" s="486">
        <f>IF(+J96&lt;F121,J96,D122)</f>
        <v>1439</v>
      </c>
      <c r="F122" s="485">
        <f t="shared" si="48"/>
        <v>27217</v>
      </c>
      <c r="G122" s="485">
        <f t="shared" si="49"/>
        <v>27936.5</v>
      </c>
      <c r="H122" s="486">
        <f t="shared" si="50"/>
        <v>4517.1176820605906</v>
      </c>
      <c r="I122" s="542">
        <f t="shared" si="51"/>
        <v>4517.1176820605906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>
      <c r="B123" s="160" t="str">
        <f t="shared" si="32"/>
        <v/>
      </c>
      <c r="C123" s="472">
        <f>IF(D93="","-",+C122+1)</f>
        <v>2030</v>
      </c>
      <c r="D123" s="347">
        <f>IF(F122+SUM(E$99:E122)=D$92,F122,D$92-SUM(E$99:E122))</f>
        <v>27217</v>
      </c>
      <c r="E123" s="486">
        <f>IF(+J96&lt;F122,J96,D123)</f>
        <v>1439</v>
      </c>
      <c r="F123" s="485">
        <f t="shared" si="48"/>
        <v>25778</v>
      </c>
      <c r="G123" s="485">
        <f t="shared" si="49"/>
        <v>26497.5</v>
      </c>
      <c r="H123" s="486">
        <f t="shared" si="50"/>
        <v>4358.5648445725301</v>
      </c>
      <c r="I123" s="542">
        <f t="shared" si="51"/>
        <v>4358.5648445725301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>
      <c r="B124" s="160" t="str">
        <f t="shared" si="32"/>
        <v/>
      </c>
      <c r="C124" s="472">
        <f>IF(D93="","-",+C123+1)</f>
        <v>2031</v>
      </c>
      <c r="D124" s="347">
        <f>IF(F123+SUM(E$99:E123)=D$92,F123,D$92-SUM(E$99:E123))</f>
        <v>25778</v>
      </c>
      <c r="E124" s="486">
        <f>IF(+J96&lt;F123,J96,D124)</f>
        <v>1439</v>
      </c>
      <c r="F124" s="485">
        <f t="shared" si="48"/>
        <v>24339</v>
      </c>
      <c r="G124" s="485">
        <f t="shared" si="49"/>
        <v>25058.5</v>
      </c>
      <c r="H124" s="486">
        <f t="shared" si="50"/>
        <v>4200.0120070844696</v>
      </c>
      <c r="I124" s="542">
        <f t="shared" si="51"/>
        <v>4200.0120070844696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>
      <c r="B125" s="160" t="str">
        <f t="shared" si="32"/>
        <v/>
      </c>
      <c r="C125" s="472">
        <f>IF(D93="","-",+C124+1)</f>
        <v>2032</v>
      </c>
      <c r="D125" s="347">
        <f>IF(F124+SUM(E$99:E124)=D$92,F124,D$92-SUM(E$99:E124))</f>
        <v>24339</v>
      </c>
      <c r="E125" s="486">
        <f>IF(+J96&lt;F124,J96,D125)</f>
        <v>1439</v>
      </c>
      <c r="F125" s="485">
        <f t="shared" si="48"/>
        <v>22900</v>
      </c>
      <c r="G125" s="485">
        <f t="shared" si="49"/>
        <v>23619.5</v>
      </c>
      <c r="H125" s="486">
        <f t="shared" si="50"/>
        <v>4041.45916959641</v>
      </c>
      <c r="I125" s="542">
        <f t="shared" si="51"/>
        <v>4041.45916959641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>
      <c r="B126" s="160" t="str">
        <f t="shared" si="32"/>
        <v/>
      </c>
      <c r="C126" s="472">
        <f>IF(D93="","-",+C125+1)</f>
        <v>2033</v>
      </c>
      <c r="D126" s="347">
        <f>IF(F125+SUM(E$99:E125)=D$92,F125,D$92-SUM(E$99:E125))</f>
        <v>22900</v>
      </c>
      <c r="E126" s="486">
        <f>IF(+J96&lt;F125,J96,D126)</f>
        <v>1439</v>
      </c>
      <c r="F126" s="485">
        <f t="shared" si="48"/>
        <v>21461</v>
      </c>
      <c r="G126" s="485">
        <f t="shared" si="49"/>
        <v>22180.5</v>
      </c>
      <c r="H126" s="486">
        <f t="shared" si="50"/>
        <v>3882.9063321083499</v>
      </c>
      <c r="I126" s="542">
        <f t="shared" si="51"/>
        <v>3882.9063321083499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>
      <c r="B127" s="160" t="str">
        <f t="shared" si="32"/>
        <v/>
      </c>
      <c r="C127" s="472">
        <f>IF(D93="","-",+C126+1)</f>
        <v>2034</v>
      </c>
      <c r="D127" s="347">
        <f>IF(F126+SUM(E$99:E126)=D$92,F126,D$92-SUM(E$99:E126))</f>
        <v>21461</v>
      </c>
      <c r="E127" s="486">
        <f>IF(+J96&lt;F126,J96,D127)</f>
        <v>1439</v>
      </c>
      <c r="F127" s="485">
        <f t="shared" si="48"/>
        <v>20022</v>
      </c>
      <c r="G127" s="485">
        <f t="shared" si="49"/>
        <v>20741.5</v>
      </c>
      <c r="H127" s="486">
        <f t="shared" si="50"/>
        <v>3724.3534946202899</v>
      </c>
      <c r="I127" s="542">
        <f t="shared" si="51"/>
        <v>3724.3534946202899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>
      <c r="B128" s="160" t="str">
        <f t="shared" si="32"/>
        <v/>
      </c>
      <c r="C128" s="472">
        <f>IF(D93="","-",+C127+1)</f>
        <v>2035</v>
      </c>
      <c r="D128" s="347">
        <f>IF(F127+SUM(E$99:E127)=D$92,F127,D$92-SUM(E$99:E127))</f>
        <v>20022</v>
      </c>
      <c r="E128" s="486">
        <f>IF(+J96&lt;F127,J96,D128)</f>
        <v>1439</v>
      </c>
      <c r="F128" s="485">
        <f t="shared" si="48"/>
        <v>18583</v>
      </c>
      <c r="G128" s="485">
        <f t="shared" si="49"/>
        <v>19302.5</v>
      </c>
      <c r="H128" s="486">
        <f t="shared" si="50"/>
        <v>3565.8006571322298</v>
      </c>
      <c r="I128" s="542">
        <f t="shared" si="51"/>
        <v>3565.8006571322298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>
      <c r="B129" s="160" t="str">
        <f t="shared" si="32"/>
        <v/>
      </c>
      <c r="C129" s="472">
        <f>IF(D93="","-",+C128+1)</f>
        <v>2036</v>
      </c>
      <c r="D129" s="347">
        <f>IF(F128+SUM(E$99:E128)=D$92,F128,D$92-SUM(E$99:E128))</f>
        <v>18583</v>
      </c>
      <c r="E129" s="486">
        <f>IF(+J96&lt;F128,J96,D129)</f>
        <v>1439</v>
      </c>
      <c r="F129" s="485">
        <f t="shared" si="48"/>
        <v>17144</v>
      </c>
      <c r="G129" s="485">
        <f t="shared" si="49"/>
        <v>17863.5</v>
      </c>
      <c r="H129" s="486">
        <f t="shared" si="50"/>
        <v>3407.2478196441698</v>
      </c>
      <c r="I129" s="542">
        <f t="shared" si="51"/>
        <v>3407.2478196441698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>
      <c r="B130" s="160" t="str">
        <f t="shared" si="32"/>
        <v/>
      </c>
      <c r="C130" s="472">
        <f>IF(D93="","-",+C129+1)</f>
        <v>2037</v>
      </c>
      <c r="D130" s="347">
        <f>IF(F129+SUM(E$99:E129)=D$92,F129,D$92-SUM(E$99:E129))</f>
        <v>17144</v>
      </c>
      <c r="E130" s="486">
        <f>IF(+J96&lt;F129,J96,D130)</f>
        <v>1439</v>
      </c>
      <c r="F130" s="485">
        <f t="shared" si="48"/>
        <v>15705</v>
      </c>
      <c r="G130" s="485">
        <f t="shared" si="49"/>
        <v>16424.5</v>
      </c>
      <c r="H130" s="486">
        <f t="shared" si="50"/>
        <v>3248.6949821561097</v>
      </c>
      <c r="I130" s="542">
        <f t="shared" si="51"/>
        <v>3248.6949821561097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>
      <c r="B131" s="160" t="str">
        <f t="shared" si="32"/>
        <v/>
      </c>
      <c r="C131" s="472">
        <f>IF(D93="","-",+C130+1)</f>
        <v>2038</v>
      </c>
      <c r="D131" s="347">
        <f>IF(F130+SUM(E$99:E130)=D$92,F130,D$92-SUM(E$99:E130))</f>
        <v>15705</v>
      </c>
      <c r="E131" s="486">
        <f>IF(+J96&lt;F130,J96,D131)</f>
        <v>1439</v>
      </c>
      <c r="F131" s="485">
        <f t="shared" ref="F131:F154" si="52">+D131-E131</f>
        <v>14266</v>
      </c>
      <c r="G131" s="485">
        <f t="shared" ref="G131:G154" si="53">+(F131+D131)/2</f>
        <v>14985.5</v>
      </c>
      <c r="H131" s="486">
        <f t="shared" si="50"/>
        <v>3090.1421446680497</v>
      </c>
      <c r="I131" s="542">
        <f t="shared" si="51"/>
        <v>3090.1421446680497</v>
      </c>
      <c r="J131" s="478">
        <f t="shared" ref="J131:J154" si="54">+I131-H131</f>
        <v>0</v>
      </c>
      <c r="K131" s="478"/>
      <c r="L131" s="487"/>
      <c r="M131" s="478">
        <f t="shared" ref="M131:M154" si="55">IF(L131&lt;&gt;0,+H131-L131,0)</f>
        <v>0</v>
      </c>
      <c r="N131" s="487"/>
      <c r="O131" s="478">
        <f t="shared" ref="O131:O154" si="56">IF(N131&lt;&gt;0,+I131-N131,0)</f>
        <v>0</v>
      </c>
      <c r="P131" s="478">
        <f t="shared" ref="P131:P154" si="57">+O131-M131</f>
        <v>0</v>
      </c>
    </row>
    <row r="132" spans="2:16">
      <c r="B132" s="160" t="str">
        <f t="shared" si="32"/>
        <v/>
      </c>
      <c r="C132" s="472">
        <f>IF(D93="","-",+C131+1)</f>
        <v>2039</v>
      </c>
      <c r="D132" s="347">
        <f>IF(F131+SUM(E$99:E131)=D$92,F131,D$92-SUM(E$99:E131))</f>
        <v>14266</v>
      </c>
      <c r="E132" s="486">
        <f>IF(+J96&lt;F131,J96,D132)</f>
        <v>1439</v>
      </c>
      <c r="F132" s="485">
        <f t="shared" si="52"/>
        <v>12827</v>
      </c>
      <c r="G132" s="485">
        <f t="shared" si="53"/>
        <v>13546.5</v>
      </c>
      <c r="H132" s="486">
        <f t="shared" si="50"/>
        <v>2931.5893071799896</v>
      </c>
      <c r="I132" s="542">
        <f t="shared" si="51"/>
        <v>2931.5893071799896</v>
      </c>
      <c r="J132" s="478">
        <f t="shared" si="54"/>
        <v>0</v>
      </c>
      <c r="K132" s="478"/>
      <c r="L132" s="487"/>
      <c r="M132" s="478">
        <f t="shared" si="55"/>
        <v>0</v>
      </c>
      <c r="N132" s="487"/>
      <c r="O132" s="478">
        <f t="shared" si="56"/>
        <v>0</v>
      </c>
      <c r="P132" s="478">
        <f t="shared" si="57"/>
        <v>0</v>
      </c>
    </row>
    <row r="133" spans="2:16">
      <c r="B133" s="160" t="str">
        <f t="shared" si="32"/>
        <v/>
      </c>
      <c r="C133" s="472">
        <f>IF(D93="","-",+C132+1)</f>
        <v>2040</v>
      </c>
      <c r="D133" s="347">
        <f>IF(F132+SUM(E$99:E132)=D$92,F132,D$92-SUM(E$99:E132))</f>
        <v>12827</v>
      </c>
      <c r="E133" s="486">
        <f>IF(+J96&lt;F132,J96,D133)</f>
        <v>1439</v>
      </c>
      <c r="F133" s="485">
        <f t="shared" si="52"/>
        <v>11388</v>
      </c>
      <c r="G133" s="485">
        <f t="shared" si="53"/>
        <v>12107.5</v>
      </c>
      <c r="H133" s="486">
        <f t="shared" si="50"/>
        <v>2773.0364696919296</v>
      </c>
      <c r="I133" s="542">
        <f t="shared" si="51"/>
        <v>2773.0364696919296</v>
      </c>
      <c r="J133" s="478">
        <f t="shared" si="54"/>
        <v>0</v>
      </c>
      <c r="K133" s="478"/>
      <c r="L133" s="487"/>
      <c r="M133" s="478">
        <f t="shared" si="55"/>
        <v>0</v>
      </c>
      <c r="N133" s="487"/>
      <c r="O133" s="478">
        <f t="shared" si="56"/>
        <v>0</v>
      </c>
      <c r="P133" s="478">
        <f t="shared" si="57"/>
        <v>0</v>
      </c>
    </row>
    <row r="134" spans="2:16">
      <c r="B134" s="160" t="str">
        <f t="shared" si="32"/>
        <v/>
      </c>
      <c r="C134" s="472">
        <f>IF(D93="","-",+C133+1)</f>
        <v>2041</v>
      </c>
      <c r="D134" s="347">
        <f>IF(F133+SUM(E$99:E133)=D$92,F133,D$92-SUM(E$99:E133))</f>
        <v>11388</v>
      </c>
      <c r="E134" s="486">
        <f>IF(+J96&lt;F133,J96,D134)</f>
        <v>1439</v>
      </c>
      <c r="F134" s="485">
        <f t="shared" si="52"/>
        <v>9949</v>
      </c>
      <c r="G134" s="485">
        <f t="shared" si="53"/>
        <v>10668.5</v>
      </c>
      <c r="H134" s="486">
        <f t="shared" si="50"/>
        <v>2614.48363220387</v>
      </c>
      <c r="I134" s="542">
        <f t="shared" si="51"/>
        <v>2614.48363220387</v>
      </c>
      <c r="J134" s="478">
        <f t="shared" si="54"/>
        <v>0</v>
      </c>
      <c r="K134" s="478"/>
      <c r="L134" s="487"/>
      <c r="M134" s="478">
        <f t="shared" si="55"/>
        <v>0</v>
      </c>
      <c r="N134" s="487"/>
      <c r="O134" s="478">
        <f t="shared" si="56"/>
        <v>0</v>
      </c>
      <c r="P134" s="478">
        <f t="shared" si="57"/>
        <v>0</v>
      </c>
    </row>
    <row r="135" spans="2:16">
      <c r="B135" s="160" t="str">
        <f t="shared" si="32"/>
        <v/>
      </c>
      <c r="C135" s="472">
        <f>IF(D93="","-",+C134+1)</f>
        <v>2042</v>
      </c>
      <c r="D135" s="347">
        <f>IF(F134+SUM(E$99:E134)=D$92,F134,D$92-SUM(E$99:E134))</f>
        <v>9949</v>
      </c>
      <c r="E135" s="486">
        <f>IF(+J96&lt;F134,J96,D135)</f>
        <v>1439</v>
      </c>
      <c r="F135" s="485">
        <f t="shared" si="52"/>
        <v>8510</v>
      </c>
      <c r="G135" s="485">
        <f t="shared" si="53"/>
        <v>9229.5</v>
      </c>
      <c r="H135" s="486">
        <f t="shared" si="50"/>
        <v>2455.9307947158095</v>
      </c>
      <c r="I135" s="542">
        <f t="shared" si="51"/>
        <v>2455.9307947158095</v>
      </c>
      <c r="J135" s="478">
        <f t="shared" si="54"/>
        <v>0</v>
      </c>
      <c r="K135" s="478"/>
      <c r="L135" s="487"/>
      <c r="M135" s="478">
        <f t="shared" si="55"/>
        <v>0</v>
      </c>
      <c r="N135" s="487"/>
      <c r="O135" s="478">
        <f t="shared" si="56"/>
        <v>0</v>
      </c>
      <c r="P135" s="478">
        <f t="shared" si="57"/>
        <v>0</v>
      </c>
    </row>
    <row r="136" spans="2:16">
      <c r="B136" s="160" t="str">
        <f t="shared" si="32"/>
        <v/>
      </c>
      <c r="C136" s="472">
        <f>IF(D93="","-",+C135+1)</f>
        <v>2043</v>
      </c>
      <c r="D136" s="347">
        <f>IF(F135+SUM(E$99:E135)=D$92,F135,D$92-SUM(E$99:E135))</f>
        <v>8510</v>
      </c>
      <c r="E136" s="486">
        <f>IF(+J96&lt;F135,J96,D136)</f>
        <v>1439</v>
      </c>
      <c r="F136" s="485">
        <f t="shared" si="52"/>
        <v>7071</v>
      </c>
      <c r="G136" s="485">
        <f t="shared" si="53"/>
        <v>7790.5</v>
      </c>
      <c r="H136" s="486">
        <f t="shared" si="50"/>
        <v>2297.3779572277494</v>
      </c>
      <c r="I136" s="542">
        <f t="shared" si="51"/>
        <v>2297.3779572277494</v>
      </c>
      <c r="J136" s="478">
        <f t="shared" si="54"/>
        <v>0</v>
      </c>
      <c r="K136" s="478"/>
      <c r="L136" s="487"/>
      <c r="M136" s="478">
        <f t="shared" si="55"/>
        <v>0</v>
      </c>
      <c r="N136" s="487"/>
      <c r="O136" s="478">
        <f t="shared" si="56"/>
        <v>0</v>
      </c>
      <c r="P136" s="478">
        <f t="shared" si="57"/>
        <v>0</v>
      </c>
    </row>
    <row r="137" spans="2:16">
      <c r="B137" s="160" t="str">
        <f t="shared" si="32"/>
        <v/>
      </c>
      <c r="C137" s="472">
        <f>IF(D93="","-",+C136+1)</f>
        <v>2044</v>
      </c>
      <c r="D137" s="347">
        <f>IF(F136+SUM(E$99:E136)=D$92,F136,D$92-SUM(E$99:E136))</f>
        <v>7071</v>
      </c>
      <c r="E137" s="486">
        <f>IF(+J96&lt;F136,J96,D137)</f>
        <v>1439</v>
      </c>
      <c r="F137" s="485">
        <f t="shared" si="52"/>
        <v>5632</v>
      </c>
      <c r="G137" s="485">
        <f t="shared" si="53"/>
        <v>6351.5</v>
      </c>
      <c r="H137" s="486">
        <f t="shared" si="50"/>
        <v>2138.8251197396894</v>
      </c>
      <c r="I137" s="542">
        <f t="shared" si="51"/>
        <v>2138.8251197396894</v>
      </c>
      <c r="J137" s="478">
        <f t="shared" si="54"/>
        <v>0</v>
      </c>
      <c r="K137" s="478"/>
      <c r="L137" s="487"/>
      <c r="M137" s="478">
        <f t="shared" si="55"/>
        <v>0</v>
      </c>
      <c r="N137" s="487"/>
      <c r="O137" s="478">
        <f t="shared" si="56"/>
        <v>0</v>
      </c>
      <c r="P137" s="478">
        <f t="shared" si="57"/>
        <v>0</v>
      </c>
    </row>
    <row r="138" spans="2:16">
      <c r="B138" s="160" t="str">
        <f t="shared" si="32"/>
        <v/>
      </c>
      <c r="C138" s="472">
        <f>IF(D93="","-",+C137+1)</f>
        <v>2045</v>
      </c>
      <c r="D138" s="347">
        <f>IF(F137+SUM(E$99:E137)=D$92,F137,D$92-SUM(E$99:E137))</f>
        <v>5632</v>
      </c>
      <c r="E138" s="486">
        <f>IF(+J96&lt;F137,J96,D138)</f>
        <v>1439</v>
      </c>
      <c r="F138" s="485">
        <f t="shared" si="52"/>
        <v>4193</v>
      </c>
      <c r="G138" s="485">
        <f t="shared" si="53"/>
        <v>4912.5</v>
      </c>
      <c r="H138" s="486">
        <f t="shared" si="50"/>
        <v>1980.2722822516296</v>
      </c>
      <c r="I138" s="542">
        <f t="shared" si="51"/>
        <v>1980.2722822516296</v>
      </c>
      <c r="J138" s="478">
        <f t="shared" si="54"/>
        <v>0</v>
      </c>
      <c r="K138" s="478"/>
      <c r="L138" s="487"/>
      <c r="M138" s="478">
        <f t="shared" si="55"/>
        <v>0</v>
      </c>
      <c r="N138" s="487"/>
      <c r="O138" s="478">
        <f t="shared" si="56"/>
        <v>0</v>
      </c>
      <c r="P138" s="478">
        <f t="shared" si="57"/>
        <v>0</v>
      </c>
    </row>
    <row r="139" spans="2:16">
      <c r="B139" s="160" t="str">
        <f t="shared" si="32"/>
        <v/>
      </c>
      <c r="C139" s="472">
        <f>IF(D93="","-",+C138+1)</f>
        <v>2046</v>
      </c>
      <c r="D139" s="347">
        <f>IF(F138+SUM(E$99:E138)=D$92,F138,D$92-SUM(E$99:E138))</f>
        <v>4193</v>
      </c>
      <c r="E139" s="486">
        <f>IF(+J96&lt;F138,J96,D139)</f>
        <v>1439</v>
      </c>
      <c r="F139" s="485">
        <f t="shared" si="52"/>
        <v>2754</v>
      </c>
      <c r="G139" s="485">
        <f t="shared" si="53"/>
        <v>3473.5</v>
      </c>
      <c r="H139" s="486">
        <f t="shared" si="50"/>
        <v>1821.7194447635695</v>
      </c>
      <c r="I139" s="542">
        <f t="shared" si="51"/>
        <v>1821.7194447635695</v>
      </c>
      <c r="J139" s="478">
        <f t="shared" si="54"/>
        <v>0</v>
      </c>
      <c r="K139" s="478"/>
      <c r="L139" s="487"/>
      <c r="M139" s="478">
        <f t="shared" si="55"/>
        <v>0</v>
      </c>
      <c r="N139" s="487"/>
      <c r="O139" s="478">
        <f t="shared" si="56"/>
        <v>0</v>
      </c>
      <c r="P139" s="478">
        <f t="shared" si="57"/>
        <v>0</v>
      </c>
    </row>
    <row r="140" spans="2:16">
      <c r="B140" s="160" t="str">
        <f t="shared" si="32"/>
        <v/>
      </c>
      <c r="C140" s="472">
        <f>IF(D93="","-",+C139+1)</f>
        <v>2047</v>
      </c>
      <c r="D140" s="347">
        <f>IF(F139+SUM(E$99:E139)=D$92,F139,D$92-SUM(E$99:E139))</f>
        <v>2754</v>
      </c>
      <c r="E140" s="486">
        <f>IF(+J96&lt;F139,J96,D140)</f>
        <v>1439</v>
      </c>
      <c r="F140" s="485">
        <f t="shared" si="52"/>
        <v>1315</v>
      </c>
      <c r="G140" s="485">
        <f t="shared" si="53"/>
        <v>2034.5</v>
      </c>
      <c r="H140" s="486">
        <f t="shared" si="50"/>
        <v>1663.1666072755095</v>
      </c>
      <c r="I140" s="542">
        <f t="shared" si="51"/>
        <v>1663.1666072755095</v>
      </c>
      <c r="J140" s="478">
        <f t="shared" si="54"/>
        <v>0</v>
      </c>
      <c r="K140" s="478"/>
      <c r="L140" s="487"/>
      <c r="M140" s="478">
        <f t="shared" si="55"/>
        <v>0</v>
      </c>
      <c r="N140" s="487"/>
      <c r="O140" s="478">
        <f t="shared" si="56"/>
        <v>0</v>
      </c>
      <c r="P140" s="478">
        <f t="shared" si="57"/>
        <v>0</v>
      </c>
    </row>
    <row r="141" spans="2:16">
      <c r="B141" s="160" t="str">
        <f t="shared" si="32"/>
        <v/>
      </c>
      <c r="C141" s="472">
        <f>IF(D93="","-",+C140+1)</f>
        <v>2048</v>
      </c>
      <c r="D141" s="347">
        <f>IF(F140+SUM(E$99:E140)=D$92,F140,D$92-SUM(E$99:E140))</f>
        <v>1315</v>
      </c>
      <c r="E141" s="486">
        <f>IF(+J96&lt;F140,J96,D141)</f>
        <v>1315</v>
      </c>
      <c r="F141" s="485">
        <f t="shared" si="52"/>
        <v>0</v>
      </c>
      <c r="G141" s="485">
        <f t="shared" si="53"/>
        <v>657.5</v>
      </c>
      <c r="H141" s="486">
        <f t="shared" si="50"/>
        <v>1387.4450942657397</v>
      </c>
      <c r="I141" s="542">
        <f t="shared" si="51"/>
        <v>1387.4450942657397</v>
      </c>
      <c r="J141" s="478">
        <f t="shared" si="54"/>
        <v>0</v>
      </c>
      <c r="K141" s="478"/>
      <c r="L141" s="487"/>
      <c r="M141" s="478">
        <f t="shared" si="55"/>
        <v>0</v>
      </c>
      <c r="N141" s="487"/>
      <c r="O141" s="478">
        <f t="shared" si="56"/>
        <v>0</v>
      </c>
      <c r="P141" s="478">
        <f t="shared" si="57"/>
        <v>0</v>
      </c>
    </row>
    <row r="142" spans="2:16">
      <c r="B142" s="160" t="str">
        <f t="shared" si="32"/>
        <v/>
      </c>
      <c r="C142" s="472">
        <f>IF(D93="","-",+C141+1)</f>
        <v>2049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2"/>
        <v>0</v>
      </c>
      <c r="G142" s="485">
        <f t="shared" si="53"/>
        <v>0</v>
      </c>
      <c r="H142" s="486">
        <f t="shared" si="50"/>
        <v>0</v>
      </c>
      <c r="I142" s="542">
        <f t="shared" si="51"/>
        <v>0</v>
      </c>
      <c r="J142" s="478">
        <f t="shared" si="54"/>
        <v>0</v>
      </c>
      <c r="K142" s="478"/>
      <c r="L142" s="487"/>
      <c r="M142" s="478">
        <f t="shared" si="55"/>
        <v>0</v>
      </c>
      <c r="N142" s="487"/>
      <c r="O142" s="478">
        <f t="shared" si="56"/>
        <v>0</v>
      </c>
      <c r="P142" s="478">
        <f t="shared" si="57"/>
        <v>0</v>
      </c>
    </row>
    <row r="143" spans="2:16">
      <c r="B143" s="160" t="str">
        <f t="shared" si="32"/>
        <v/>
      </c>
      <c r="C143" s="472">
        <f>IF(D93="","-",+C142+1)</f>
        <v>2050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2"/>
        <v>0</v>
      </c>
      <c r="G143" s="485">
        <f t="shared" si="53"/>
        <v>0</v>
      </c>
      <c r="H143" s="486">
        <f t="shared" si="50"/>
        <v>0</v>
      </c>
      <c r="I143" s="542">
        <f t="shared" si="51"/>
        <v>0</v>
      </c>
      <c r="J143" s="478">
        <f t="shared" si="54"/>
        <v>0</v>
      </c>
      <c r="K143" s="478"/>
      <c r="L143" s="487"/>
      <c r="M143" s="478">
        <f t="shared" si="55"/>
        <v>0</v>
      </c>
      <c r="N143" s="487"/>
      <c r="O143" s="478">
        <f t="shared" si="56"/>
        <v>0</v>
      </c>
      <c r="P143" s="478">
        <f t="shared" si="57"/>
        <v>0</v>
      </c>
    </row>
    <row r="144" spans="2:16">
      <c r="B144" s="160" t="str">
        <f t="shared" si="32"/>
        <v/>
      </c>
      <c r="C144" s="472">
        <f>IF(D93="","-",+C143+1)</f>
        <v>2051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2"/>
        <v>0</v>
      </c>
      <c r="G144" s="485">
        <f t="shared" si="53"/>
        <v>0</v>
      </c>
      <c r="H144" s="486">
        <f t="shared" si="50"/>
        <v>0</v>
      </c>
      <c r="I144" s="542">
        <f t="shared" si="51"/>
        <v>0</v>
      </c>
      <c r="J144" s="478">
        <f t="shared" si="54"/>
        <v>0</v>
      </c>
      <c r="K144" s="478"/>
      <c r="L144" s="487"/>
      <c r="M144" s="478">
        <f t="shared" si="55"/>
        <v>0</v>
      </c>
      <c r="N144" s="487"/>
      <c r="O144" s="478">
        <f t="shared" si="56"/>
        <v>0</v>
      </c>
      <c r="P144" s="478">
        <f t="shared" si="57"/>
        <v>0</v>
      </c>
    </row>
    <row r="145" spans="2:16">
      <c r="B145" s="160" t="str">
        <f t="shared" si="32"/>
        <v/>
      </c>
      <c r="C145" s="472">
        <f>IF(D93="","-",+C144+1)</f>
        <v>2052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2"/>
        <v>0</v>
      </c>
      <c r="G145" s="485">
        <f t="shared" si="53"/>
        <v>0</v>
      </c>
      <c r="H145" s="486">
        <f t="shared" si="50"/>
        <v>0</v>
      </c>
      <c r="I145" s="542">
        <f t="shared" si="51"/>
        <v>0</v>
      </c>
      <c r="J145" s="478">
        <f t="shared" si="54"/>
        <v>0</v>
      </c>
      <c r="K145" s="478"/>
      <c r="L145" s="487"/>
      <c r="M145" s="478">
        <f t="shared" si="55"/>
        <v>0</v>
      </c>
      <c r="N145" s="487"/>
      <c r="O145" s="478">
        <f t="shared" si="56"/>
        <v>0</v>
      </c>
      <c r="P145" s="478">
        <f t="shared" si="57"/>
        <v>0</v>
      </c>
    </row>
    <row r="146" spans="2:16">
      <c r="B146" s="160" t="str">
        <f t="shared" si="32"/>
        <v/>
      </c>
      <c r="C146" s="472">
        <f>IF(D93="","-",+C145+1)</f>
        <v>2053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2"/>
        <v>0</v>
      </c>
      <c r="G146" s="485">
        <f t="shared" si="53"/>
        <v>0</v>
      </c>
      <c r="H146" s="486">
        <f t="shared" si="50"/>
        <v>0</v>
      </c>
      <c r="I146" s="542">
        <f t="shared" si="51"/>
        <v>0</v>
      </c>
      <c r="J146" s="478">
        <f t="shared" si="54"/>
        <v>0</v>
      </c>
      <c r="K146" s="478"/>
      <c r="L146" s="487"/>
      <c r="M146" s="478">
        <f t="shared" si="55"/>
        <v>0</v>
      </c>
      <c r="N146" s="487"/>
      <c r="O146" s="478">
        <f t="shared" si="56"/>
        <v>0</v>
      </c>
      <c r="P146" s="478">
        <f t="shared" si="57"/>
        <v>0</v>
      </c>
    </row>
    <row r="147" spans="2:16">
      <c r="B147" s="160" t="str">
        <f t="shared" si="32"/>
        <v/>
      </c>
      <c r="C147" s="472">
        <f>IF(D93="","-",+C146+1)</f>
        <v>2054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2"/>
        <v>0</v>
      </c>
      <c r="G147" s="485">
        <f t="shared" si="53"/>
        <v>0</v>
      </c>
      <c r="H147" s="486">
        <f t="shared" si="50"/>
        <v>0</v>
      </c>
      <c r="I147" s="542">
        <f t="shared" si="51"/>
        <v>0</v>
      </c>
      <c r="J147" s="478">
        <f t="shared" si="54"/>
        <v>0</v>
      </c>
      <c r="K147" s="478"/>
      <c r="L147" s="487"/>
      <c r="M147" s="478">
        <f t="shared" si="55"/>
        <v>0</v>
      </c>
      <c r="N147" s="487"/>
      <c r="O147" s="478">
        <f t="shared" si="56"/>
        <v>0</v>
      </c>
      <c r="P147" s="478">
        <f t="shared" si="57"/>
        <v>0</v>
      </c>
    </row>
    <row r="148" spans="2:16">
      <c r="B148" s="160" t="str">
        <f t="shared" si="32"/>
        <v/>
      </c>
      <c r="C148" s="472">
        <f>IF(D93="","-",+C147+1)</f>
        <v>2055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2"/>
        <v>0</v>
      </c>
      <c r="G148" s="485">
        <f t="shared" si="53"/>
        <v>0</v>
      </c>
      <c r="H148" s="486">
        <f t="shared" si="50"/>
        <v>0</v>
      </c>
      <c r="I148" s="542">
        <f t="shared" si="51"/>
        <v>0</v>
      </c>
      <c r="J148" s="478">
        <f t="shared" si="54"/>
        <v>0</v>
      </c>
      <c r="K148" s="478"/>
      <c r="L148" s="487"/>
      <c r="M148" s="478">
        <f t="shared" si="55"/>
        <v>0</v>
      </c>
      <c r="N148" s="487"/>
      <c r="O148" s="478">
        <f t="shared" si="56"/>
        <v>0</v>
      </c>
      <c r="P148" s="478">
        <f t="shared" si="57"/>
        <v>0</v>
      </c>
    </row>
    <row r="149" spans="2:16">
      <c r="B149" s="160" t="str">
        <f t="shared" si="32"/>
        <v/>
      </c>
      <c r="C149" s="472">
        <f>IF(D93="","-",+C148+1)</f>
        <v>2056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2"/>
        <v>0</v>
      </c>
      <c r="G149" s="485">
        <f t="shared" si="53"/>
        <v>0</v>
      </c>
      <c r="H149" s="486">
        <f t="shared" si="50"/>
        <v>0</v>
      </c>
      <c r="I149" s="542">
        <f t="shared" si="51"/>
        <v>0</v>
      </c>
      <c r="J149" s="478">
        <f t="shared" si="54"/>
        <v>0</v>
      </c>
      <c r="K149" s="478"/>
      <c r="L149" s="487"/>
      <c r="M149" s="478">
        <f t="shared" si="55"/>
        <v>0</v>
      </c>
      <c r="N149" s="487"/>
      <c r="O149" s="478">
        <f t="shared" si="56"/>
        <v>0</v>
      </c>
      <c r="P149" s="478">
        <f t="shared" si="57"/>
        <v>0</v>
      </c>
    </row>
    <row r="150" spans="2:16">
      <c r="B150" s="160" t="str">
        <f t="shared" si="32"/>
        <v/>
      </c>
      <c r="C150" s="472">
        <f>IF(D93="","-",+C149+1)</f>
        <v>2057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2"/>
        <v>0</v>
      </c>
      <c r="G150" s="485">
        <f t="shared" si="53"/>
        <v>0</v>
      </c>
      <c r="H150" s="486">
        <f t="shared" si="50"/>
        <v>0</v>
      </c>
      <c r="I150" s="542">
        <f t="shared" si="51"/>
        <v>0</v>
      </c>
      <c r="J150" s="478">
        <f t="shared" si="54"/>
        <v>0</v>
      </c>
      <c r="K150" s="478"/>
      <c r="L150" s="487"/>
      <c r="M150" s="478">
        <f t="shared" si="55"/>
        <v>0</v>
      </c>
      <c r="N150" s="487"/>
      <c r="O150" s="478">
        <f t="shared" si="56"/>
        <v>0</v>
      </c>
      <c r="P150" s="478">
        <f t="shared" si="57"/>
        <v>0</v>
      </c>
    </row>
    <row r="151" spans="2:16">
      <c r="B151" s="160" t="str">
        <f t="shared" si="32"/>
        <v/>
      </c>
      <c r="C151" s="472">
        <f>IF(D93="","-",+C150+1)</f>
        <v>2058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2"/>
        <v>0</v>
      </c>
      <c r="G151" s="485">
        <f t="shared" si="53"/>
        <v>0</v>
      </c>
      <c r="H151" s="486">
        <f t="shared" si="50"/>
        <v>0</v>
      </c>
      <c r="I151" s="542">
        <f t="shared" si="51"/>
        <v>0</v>
      </c>
      <c r="J151" s="478">
        <f t="shared" si="54"/>
        <v>0</v>
      </c>
      <c r="K151" s="478"/>
      <c r="L151" s="487"/>
      <c r="M151" s="478">
        <f t="shared" si="55"/>
        <v>0</v>
      </c>
      <c r="N151" s="487"/>
      <c r="O151" s="478">
        <f t="shared" si="56"/>
        <v>0</v>
      </c>
      <c r="P151" s="478">
        <f t="shared" si="57"/>
        <v>0</v>
      </c>
    </row>
    <row r="152" spans="2:16">
      <c r="B152" s="160" t="str">
        <f t="shared" si="32"/>
        <v/>
      </c>
      <c r="C152" s="472">
        <f>IF(D93="","-",+C151+1)</f>
        <v>2059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2"/>
        <v>0</v>
      </c>
      <c r="G152" s="485">
        <f t="shared" si="53"/>
        <v>0</v>
      </c>
      <c r="H152" s="486">
        <f t="shared" si="50"/>
        <v>0</v>
      </c>
      <c r="I152" s="542">
        <f t="shared" si="51"/>
        <v>0</v>
      </c>
      <c r="J152" s="478">
        <f t="shared" si="54"/>
        <v>0</v>
      </c>
      <c r="K152" s="478"/>
      <c r="L152" s="487"/>
      <c r="M152" s="478">
        <f t="shared" si="55"/>
        <v>0</v>
      </c>
      <c r="N152" s="487"/>
      <c r="O152" s="478">
        <f t="shared" si="56"/>
        <v>0</v>
      </c>
      <c r="P152" s="478">
        <f t="shared" si="57"/>
        <v>0</v>
      </c>
    </row>
    <row r="153" spans="2:16">
      <c r="B153" s="160" t="str">
        <f t="shared" si="32"/>
        <v/>
      </c>
      <c r="C153" s="472">
        <f>IF(D93="","-",+C152+1)</f>
        <v>2060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2"/>
        <v>0</v>
      </c>
      <c r="G153" s="485">
        <f t="shared" si="53"/>
        <v>0</v>
      </c>
      <c r="H153" s="486">
        <f t="shared" si="50"/>
        <v>0</v>
      </c>
      <c r="I153" s="542">
        <f t="shared" si="51"/>
        <v>0</v>
      </c>
      <c r="J153" s="478">
        <f t="shared" si="54"/>
        <v>0</v>
      </c>
      <c r="K153" s="478"/>
      <c r="L153" s="487"/>
      <c r="M153" s="478">
        <f t="shared" si="55"/>
        <v>0</v>
      </c>
      <c r="N153" s="487"/>
      <c r="O153" s="478">
        <f t="shared" si="56"/>
        <v>0</v>
      </c>
      <c r="P153" s="478">
        <f t="shared" si="57"/>
        <v>0</v>
      </c>
    </row>
    <row r="154" spans="2:16" ht="13.5" thickBot="1">
      <c r="B154" s="160" t="str">
        <f t="shared" si="32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2"/>
        <v>0</v>
      </c>
      <c r="G154" s="490">
        <f t="shared" si="53"/>
        <v>0</v>
      </c>
      <c r="H154" s="492">
        <f t="shared" ref="H154" si="58">+J$94*G154+E154</f>
        <v>0</v>
      </c>
      <c r="I154" s="545">
        <f t="shared" ref="I154" si="59">+J$95*G154+E154</f>
        <v>0</v>
      </c>
      <c r="J154" s="495">
        <f t="shared" si="54"/>
        <v>0</v>
      </c>
      <c r="K154" s="478"/>
      <c r="L154" s="494"/>
      <c r="M154" s="495">
        <f t="shared" si="55"/>
        <v>0</v>
      </c>
      <c r="N154" s="494"/>
      <c r="O154" s="495">
        <f t="shared" si="56"/>
        <v>0</v>
      </c>
      <c r="P154" s="495">
        <f t="shared" si="57"/>
        <v>0</v>
      </c>
    </row>
    <row r="155" spans="2:16">
      <c r="C155" s="347" t="s">
        <v>77</v>
      </c>
      <c r="D155" s="348"/>
      <c r="E155" s="348">
        <f>SUM(E99:E154)</f>
        <v>56133</v>
      </c>
      <c r="F155" s="348"/>
      <c r="G155" s="348"/>
      <c r="H155" s="348">
        <f>SUM(H99:H154)</f>
        <v>201690.25886516375</v>
      </c>
      <c r="I155" s="348">
        <f>SUM(I99:I154)</f>
        <v>201690.25886516375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>
    <tabColor rgb="FFC00000"/>
  </sheetPr>
  <dimension ref="A1:P162"/>
  <sheetViews>
    <sheetView view="pageBreakPreview" zoomScale="75" zoomScaleNormal="100" workbookViewId="0">
      <selection activeCell="D92" sqref="D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9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7037.8367110732015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7037.8367110732015</v>
      </c>
      <c r="O6" s="233"/>
      <c r="P6" s="233"/>
    </row>
    <row r="7" spans="1:16" ht="13.5" thickBot="1">
      <c r="C7" s="431" t="s">
        <v>46</v>
      </c>
      <c r="D7" s="432" t="s">
        <v>216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88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72551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1727.4047619047619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2007</v>
      </c>
      <c r="D17" s="473">
        <v>72551</v>
      </c>
      <c r="E17" s="474">
        <v>863.70238095238085</v>
      </c>
      <c r="F17" s="473">
        <v>71687.297619047618</v>
      </c>
      <c r="G17" s="474">
        <v>11207.929543529199</v>
      </c>
      <c r="H17" s="481">
        <v>11207.929543529199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2008</v>
      </c>
      <c r="D18" s="479">
        <v>71687.297619047618</v>
      </c>
      <c r="E18" s="480">
        <v>1295.5535714285713</v>
      </c>
      <c r="F18" s="479">
        <v>70391.744047619053</v>
      </c>
      <c r="G18" s="480">
        <v>11452.836869621469</v>
      </c>
      <c r="H18" s="481">
        <v>11452.836869621469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2009</v>
      </c>
      <c r="D19" s="479">
        <v>70391.744047619053</v>
      </c>
      <c r="E19" s="480">
        <v>1295.5535714285713</v>
      </c>
      <c r="F19" s="479">
        <v>69096.190476190488</v>
      </c>
      <c r="G19" s="480">
        <v>11265.893005237553</v>
      </c>
      <c r="H19" s="481">
        <v>11265.893005237553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69096.190476190488</v>
      </c>
      <c r="E20" s="480">
        <v>1295.5535714285713</v>
      </c>
      <c r="F20" s="479">
        <v>67800.636904761923</v>
      </c>
      <c r="G20" s="480">
        <v>11078.949140853634</v>
      </c>
      <c r="H20" s="481">
        <v>11078.949140853634</v>
      </c>
      <c r="I20" s="475">
        <f t="shared" si="0"/>
        <v>0</v>
      </c>
      <c r="J20" s="475"/>
      <c r="K20" s="540">
        <f t="shared" ref="K20:K25" si="5">G20</f>
        <v>11078.949140853634</v>
      </c>
      <c r="L20" s="541">
        <f t="shared" si="1"/>
        <v>0</v>
      </c>
      <c r="M20" s="540">
        <f t="shared" ref="M20:M25" si="6">H20</f>
        <v>11078.949140853634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2011</v>
      </c>
      <c r="D21" s="479">
        <v>67800.636904761923</v>
      </c>
      <c r="E21" s="480">
        <v>1422.5686274509803</v>
      </c>
      <c r="F21" s="479">
        <v>66378.068277310944</v>
      </c>
      <c r="G21" s="480">
        <v>11813.613268851301</v>
      </c>
      <c r="H21" s="481">
        <v>11813.613268851301</v>
      </c>
      <c r="I21" s="475">
        <f t="shared" si="0"/>
        <v>0</v>
      </c>
      <c r="J21" s="475"/>
      <c r="K21" s="476">
        <f t="shared" si="5"/>
        <v>11813.613268851301</v>
      </c>
      <c r="L21" s="550">
        <f t="shared" si="1"/>
        <v>0</v>
      </c>
      <c r="M21" s="476">
        <f t="shared" si="6"/>
        <v>11813.613268851301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2012</v>
      </c>
      <c r="D22" s="479">
        <v>66378.068277310944</v>
      </c>
      <c r="E22" s="480">
        <v>1395.2115384615386</v>
      </c>
      <c r="F22" s="479">
        <v>64982.856738849405</v>
      </c>
      <c r="G22" s="480">
        <v>10441.262785463339</v>
      </c>
      <c r="H22" s="481">
        <v>10441.262785463339</v>
      </c>
      <c r="I22" s="475">
        <f t="shared" si="0"/>
        <v>0</v>
      </c>
      <c r="J22" s="475"/>
      <c r="K22" s="476">
        <f t="shared" si="5"/>
        <v>10441.262785463339</v>
      </c>
      <c r="L22" s="550">
        <f t="shared" si="1"/>
        <v>0</v>
      </c>
      <c r="M22" s="476">
        <f t="shared" si="6"/>
        <v>10441.262785463339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2013</v>
      </c>
      <c r="D23" s="479">
        <v>64982.856738849405</v>
      </c>
      <c r="E23" s="480">
        <v>1395.2115384615386</v>
      </c>
      <c r="F23" s="479">
        <v>63587.645200387866</v>
      </c>
      <c r="G23" s="480">
        <v>10475.957148527981</v>
      </c>
      <c r="H23" s="481">
        <v>10475.957148527981</v>
      </c>
      <c r="I23" s="475">
        <v>0</v>
      </c>
      <c r="J23" s="475"/>
      <c r="K23" s="476">
        <f t="shared" si="5"/>
        <v>10475.957148527981</v>
      </c>
      <c r="L23" s="550">
        <f t="shared" ref="L23:L28" si="7">IF(K23&lt;&gt;0,+G23-K23,0)</f>
        <v>0</v>
      </c>
      <c r="M23" s="476">
        <f t="shared" si="6"/>
        <v>10475.957148527981</v>
      </c>
      <c r="N23" s="478">
        <f t="shared" ref="N23:N28" si="8">IF(M23&lt;&gt;0,+H23-M23,0)</f>
        <v>0</v>
      </c>
      <c r="O23" s="478">
        <f t="shared" ref="O23:O28" si="9">+N23-L23</f>
        <v>0</v>
      </c>
      <c r="P23" s="243"/>
    </row>
    <row r="24" spans="2:16">
      <c r="B24" s="160" t="str">
        <f t="shared" si="4"/>
        <v/>
      </c>
      <c r="C24" s="472">
        <f>IF(D11="","-",+C23+1)</f>
        <v>2014</v>
      </c>
      <c r="D24" s="479">
        <v>63587.645200387866</v>
      </c>
      <c r="E24" s="480">
        <v>1395.2115384615386</v>
      </c>
      <c r="F24" s="479">
        <v>62192.433661926327</v>
      </c>
      <c r="G24" s="480">
        <v>9956.5453160541092</v>
      </c>
      <c r="H24" s="481">
        <v>9956.5453160541092</v>
      </c>
      <c r="I24" s="475">
        <v>0</v>
      </c>
      <c r="J24" s="475"/>
      <c r="K24" s="476">
        <f t="shared" si="5"/>
        <v>9956.5453160541092</v>
      </c>
      <c r="L24" s="550">
        <f t="shared" si="7"/>
        <v>0</v>
      </c>
      <c r="M24" s="476">
        <f t="shared" si="6"/>
        <v>9956.5453160541092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4"/>
        <v/>
      </c>
      <c r="C25" s="472">
        <f>IF(D11="","-",+C24+1)</f>
        <v>2015</v>
      </c>
      <c r="D25" s="479">
        <v>62192.433661926327</v>
      </c>
      <c r="E25" s="480">
        <v>1395.2115384615386</v>
      </c>
      <c r="F25" s="479">
        <v>60797.222123464788</v>
      </c>
      <c r="G25" s="480">
        <v>9777.4252794187214</v>
      </c>
      <c r="H25" s="481">
        <v>9777.4252794187214</v>
      </c>
      <c r="I25" s="475">
        <v>0</v>
      </c>
      <c r="J25" s="475"/>
      <c r="K25" s="476">
        <f t="shared" si="5"/>
        <v>9777.4252794187214</v>
      </c>
      <c r="L25" s="550">
        <f t="shared" si="7"/>
        <v>0</v>
      </c>
      <c r="M25" s="476">
        <f t="shared" si="6"/>
        <v>9777.4252794187214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2016</v>
      </c>
      <c r="D26" s="479">
        <v>60797.222123464788</v>
      </c>
      <c r="E26" s="480">
        <v>1395.2115384615386</v>
      </c>
      <c r="F26" s="479">
        <v>59402.010585003249</v>
      </c>
      <c r="G26" s="480">
        <v>9186.357507240491</v>
      </c>
      <c r="H26" s="481">
        <v>9186.357507240491</v>
      </c>
      <c r="I26" s="475">
        <f t="shared" si="0"/>
        <v>0</v>
      </c>
      <c r="J26" s="475"/>
      <c r="K26" s="476">
        <f t="shared" ref="K26:K31" si="10">G26</f>
        <v>9186.357507240491</v>
      </c>
      <c r="L26" s="550">
        <f t="shared" si="7"/>
        <v>0</v>
      </c>
      <c r="M26" s="476">
        <f t="shared" ref="M26:M31" si="11">H26</f>
        <v>9186.357507240491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2017</v>
      </c>
      <c r="D27" s="479">
        <v>59402.010585003249</v>
      </c>
      <c r="E27" s="480">
        <v>1577.195652173913</v>
      </c>
      <c r="F27" s="479">
        <v>57824.814932829337</v>
      </c>
      <c r="G27" s="480">
        <v>8936.0194589414823</v>
      </c>
      <c r="H27" s="481">
        <v>8936.0194589414823</v>
      </c>
      <c r="I27" s="475">
        <f t="shared" si="0"/>
        <v>0</v>
      </c>
      <c r="J27" s="475"/>
      <c r="K27" s="476">
        <f t="shared" si="10"/>
        <v>8936.0194589414823</v>
      </c>
      <c r="L27" s="550">
        <f t="shared" si="7"/>
        <v>0</v>
      </c>
      <c r="M27" s="476">
        <f t="shared" si="11"/>
        <v>8936.0194589414823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2018</v>
      </c>
      <c r="D28" s="479">
        <v>57824.814932829337</v>
      </c>
      <c r="E28" s="480">
        <v>1612.2444444444445</v>
      </c>
      <c r="F28" s="479">
        <v>56212.570488384896</v>
      </c>
      <c r="G28" s="480">
        <v>8440.7426840086373</v>
      </c>
      <c r="H28" s="481">
        <v>8440.7426840086373</v>
      </c>
      <c r="I28" s="475">
        <f t="shared" si="0"/>
        <v>0</v>
      </c>
      <c r="J28" s="475"/>
      <c r="K28" s="476">
        <f t="shared" si="10"/>
        <v>8440.7426840086373</v>
      </c>
      <c r="L28" s="550">
        <f t="shared" si="7"/>
        <v>0</v>
      </c>
      <c r="M28" s="476">
        <f t="shared" si="11"/>
        <v>8440.7426840086373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2019</v>
      </c>
      <c r="D29" s="479">
        <v>56212.570488384896</v>
      </c>
      <c r="E29" s="480">
        <v>1813.7750000000001</v>
      </c>
      <c r="F29" s="479">
        <v>54398.795488384894</v>
      </c>
      <c r="G29" s="480">
        <v>7989.0212540933571</v>
      </c>
      <c r="H29" s="481">
        <v>7989.0212540933571</v>
      </c>
      <c r="I29" s="475">
        <f t="shared" si="0"/>
        <v>0</v>
      </c>
      <c r="J29" s="475"/>
      <c r="K29" s="476">
        <f t="shared" si="10"/>
        <v>7989.0212540933571</v>
      </c>
      <c r="L29" s="550">
        <f t="shared" ref="L29" si="12">IF(K29&lt;&gt;0,+G29-K29,0)</f>
        <v>0</v>
      </c>
      <c r="M29" s="476">
        <f t="shared" si="11"/>
        <v>7989.0212540933571</v>
      </c>
      <c r="N29" s="478">
        <f t="shared" ref="N29" si="13">IF(M29&lt;&gt;0,+H29-M29,0)</f>
        <v>0</v>
      </c>
      <c r="O29" s="478">
        <f t="shared" si="3"/>
        <v>0</v>
      </c>
      <c r="P29" s="243"/>
    </row>
    <row r="30" spans="2:16">
      <c r="B30" s="160" t="str">
        <f t="shared" si="4"/>
        <v>IU</v>
      </c>
      <c r="C30" s="472">
        <f>IF(D11="","-",+C29+1)</f>
        <v>2020</v>
      </c>
      <c r="D30" s="479">
        <v>54600.326043940455</v>
      </c>
      <c r="E30" s="480">
        <v>1727.4047619047619</v>
      </c>
      <c r="F30" s="479">
        <v>52872.921282035692</v>
      </c>
      <c r="G30" s="480">
        <v>7531.2168125199005</v>
      </c>
      <c r="H30" s="481">
        <v>7531.2168125199005</v>
      </c>
      <c r="I30" s="475">
        <f t="shared" si="0"/>
        <v>0</v>
      </c>
      <c r="J30" s="475"/>
      <c r="K30" s="476">
        <f t="shared" si="10"/>
        <v>7531.2168125199005</v>
      </c>
      <c r="L30" s="550">
        <f t="shared" ref="L30" si="14">IF(K30&lt;&gt;0,+G30-K30,0)</f>
        <v>0</v>
      </c>
      <c r="M30" s="476">
        <f t="shared" si="11"/>
        <v>7531.2168125199005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4"/>
        <v>IU</v>
      </c>
      <c r="C31" s="472">
        <f>IF(D11="","-",+C30+1)</f>
        <v>2021</v>
      </c>
      <c r="D31" s="479">
        <v>52671.390726480109</v>
      </c>
      <c r="E31" s="480">
        <v>1687.2325581395348</v>
      </c>
      <c r="F31" s="479">
        <v>50984.158168340575</v>
      </c>
      <c r="G31" s="480">
        <v>7184.4287124898146</v>
      </c>
      <c r="H31" s="481">
        <v>7184.4287124898146</v>
      </c>
      <c r="I31" s="475">
        <f t="shared" si="0"/>
        <v>0</v>
      </c>
      <c r="J31" s="475"/>
      <c r="K31" s="476">
        <f t="shared" si="10"/>
        <v>7184.4287124898146</v>
      </c>
      <c r="L31" s="550">
        <f t="shared" ref="L31" si="15">IF(K31&lt;&gt;0,+G31-K31,0)</f>
        <v>0</v>
      </c>
      <c r="M31" s="476">
        <f t="shared" si="11"/>
        <v>7184.4287124898146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/>
      </c>
      <c r="C32" s="472">
        <f>IF(D11="","-",+C31+1)</f>
        <v>2022</v>
      </c>
      <c r="D32" s="479">
        <v>50984.158168340575</v>
      </c>
      <c r="E32" s="480">
        <v>1727.4047619047619</v>
      </c>
      <c r="F32" s="479">
        <v>49256.753406435811</v>
      </c>
      <c r="G32" s="480">
        <v>7037.8367110732015</v>
      </c>
      <c r="H32" s="481">
        <v>7037.8367110732015</v>
      </c>
      <c r="I32" s="475">
        <f t="shared" si="0"/>
        <v>0</v>
      </c>
      <c r="J32" s="475"/>
      <c r="K32" s="476">
        <f t="shared" ref="K32" si="16">G32</f>
        <v>7037.8367110732015</v>
      </c>
      <c r="L32" s="550">
        <f t="shared" ref="L32" si="17">IF(K32&lt;&gt;0,+G32-K32,0)</f>
        <v>0</v>
      </c>
      <c r="M32" s="476">
        <f t="shared" ref="M32" si="18">H32</f>
        <v>7037.8367110732015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49256.753406435811</v>
      </c>
      <c r="E33" s="484">
        <f>IF(+I14&lt;F32,I14,D33)</f>
        <v>1727.4047619047619</v>
      </c>
      <c r="F33" s="485">
        <f t="shared" ref="F33:F48" si="19">+D33-E33</f>
        <v>47529.348644531048</v>
      </c>
      <c r="G33" s="486">
        <f t="shared" ref="G33:G72" si="20">(D33+F33)/2*I$12+E33</f>
        <v>6944.7198813760351</v>
      </c>
      <c r="H33" s="455">
        <f t="shared" ref="H33:H72" si="21">+(D33+F33)/2*I$13+E33</f>
        <v>6944.7198813760351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47529.348644531048</v>
      </c>
      <c r="E34" s="484">
        <f>IF(+I14&lt;F33,I14,D34)</f>
        <v>1727.4047619047619</v>
      </c>
      <c r="F34" s="485">
        <f t="shared" si="19"/>
        <v>45801.943882626285</v>
      </c>
      <c r="G34" s="486">
        <f t="shared" si="20"/>
        <v>6758.4862219817041</v>
      </c>
      <c r="H34" s="455">
        <f t="shared" si="21"/>
        <v>6758.4862219817041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45801.943882626285</v>
      </c>
      <c r="E35" s="484">
        <f>IF(+I14&lt;F34,I14,D35)</f>
        <v>1727.4047619047619</v>
      </c>
      <c r="F35" s="485">
        <f t="shared" si="19"/>
        <v>44074.539120721522</v>
      </c>
      <c r="G35" s="486">
        <f t="shared" si="20"/>
        <v>6572.2525625873732</v>
      </c>
      <c r="H35" s="455">
        <f t="shared" si="21"/>
        <v>6572.2525625873732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44074.539120721522</v>
      </c>
      <c r="E36" s="484">
        <f>IF(+I14&lt;F35,I14,D36)</f>
        <v>1727.4047619047619</v>
      </c>
      <c r="F36" s="485">
        <f t="shared" si="19"/>
        <v>42347.134358816758</v>
      </c>
      <c r="G36" s="486">
        <f t="shared" si="20"/>
        <v>6386.0189031930404</v>
      </c>
      <c r="H36" s="455">
        <f t="shared" si="21"/>
        <v>6386.0189031930404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42347.134358816758</v>
      </c>
      <c r="E37" s="484">
        <f>IF(+I14&lt;F36,I14,D37)</f>
        <v>1727.4047619047619</v>
      </c>
      <c r="F37" s="485">
        <f t="shared" si="19"/>
        <v>40619.729596911995</v>
      </c>
      <c r="G37" s="486">
        <f t="shared" si="20"/>
        <v>6199.7852437987094</v>
      </c>
      <c r="H37" s="455">
        <f t="shared" si="21"/>
        <v>6199.7852437987094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40619.729596911995</v>
      </c>
      <c r="E38" s="484">
        <f>IF(+I14&lt;F37,I14,D38)</f>
        <v>1727.4047619047619</v>
      </c>
      <c r="F38" s="485">
        <f t="shared" si="19"/>
        <v>38892.324835007232</v>
      </c>
      <c r="G38" s="486">
        <f t="shared" si="20"/>
        <v>6013.5515844043766</v>
      </c>
      <c r="H38" s="455">
        <f t="shared" si="21"/>
        <v>6013.5515844043766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38892.324835007232</v>
      </c>
      <c r="E39" s="484">
        <f>IF(+I14&lt;F38,I14,D39)</f>
        <v>1727.4047619047619</v>
      </c>
      <c r="F39" s="485">
        <f t="shared" si="19"/>
        <v>37164.920073102468</v>
      </c>
      <c r="G39" s="486">
        <f t="shared" si="20"/>
        <v>5827.3179250100457</v>
      </c>
      <c r="H39" s="455">
        <f t="shared" si="21"/>
        <v>5827.3179250100457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37164.920073102468</v>
      </c>
      <c r="E40" s="484">
        <f>IF(+I14&lt;F39,I14,D40)</f>
        <v>1727.4047619047619</v>
      </c>
      <c r="F40" s="485">
        <f t="shared" si="19"/>
        <v>35437.515311197705</v>
      </c>
      <c r="G40" s="486">
        <f t="shared" si="20"/>
        <v>5641.0842656157138</v>
      </c>
      <c r="H40" s="455">
        <f t="shared" si="21"/>
        <v>5641.0842656157138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35437.515311197705</v>
      </c>
      <c r="E41" s="484">
        <f>IF(+I14&lt;F40,I14,D41)</f>
        <v>1727.4047619047619</v>
      </c>
      <c r="F41" s="485">
        <f t="shared" si="19"/>
        <v>33710.110549292942</v>
      </c>
      <c r="G41" s="486">
        <f t="shared" si="20"/>
        <v>5454.8506062213819</v>
      </c>
      <c r="H41" s="455">
        <f t="shared" si="21"/>
        <v>5454.8506062213819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33710.110549292942</v>
      </c>
      <c r="E42" s="484">
        <f>IF(+I14&lt;F41,I14,D42)</f>
        <v>1727.4047619047619</v>
      </c>
      <c r="F42" s="485">
        <f t="shared" si="19"/>
        <v>31982.705787388179</v>
      </c>
      <c r="G42" s="486">
        <f t="shared" si="20"/>
        <v>5268.61694682705</v>
      </c>
      <c r="H42" s="455">
        <f t="shared" si="21"/>
        <v>5268.61694682705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31982.705787388179</v>
      </c>
      <c r="E43" s="484">
        <f>IF(+I14&lt;F42,I14,D43)</f>
        <v>1727.4047619047619</v>
      </c>
      <c r="F43" s="485">
        <f t="shared" si="19"/>
        <v>30255.301025483415</v>
      </c>
      <c r="G43" s="486">
        <f t="shared" si="20"/>
        <v>5082.3832874327181</v>
      </c>
      <c r="H43" s="455">
        <f t="shared" si="21"/>
        <v>5082.3832874327181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30255.301025483415</v>
      </c>
      <c r="E44" s="484">
        <f>IF(+I14&lt;F43,I14,D44)</f>
        <v>1727.4047619047619</v>
      </c>
      <c r="F44" s="485">
        <f t="shared" si="19"/>
        <v>28527.896263578652</v>
      </c>
      <c r="G44" s="486">
        <f t="shared" si="20"/>
        <v>4896.1496280383872</v>
      </c>
      <c r="H44" s="455">
        <f t="shared" si="21"/>
        <v>4896.1496280383872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28527.896263578652</v>
      </c>
      <c r="E45" s="484">
        <f>IF(+I14&lt;F44,I14,D45)</f>
        <v>1727.4047619047619</v>
      </c>
      <c r="F45" s="485">
        <f t="shared" si="19"/>
        <v>26800.491501673889</v>
      </c>
      <c r="G45" s="486">
        <f t="shared" si="20"/>
        <v>4709.9159686440544</v>
      </c>
      <c r="H45" s="455">
        <f t="shared" si="21"/>
        <v>4709.9159686440544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26800.491501673889</v>
      </c>
      <c r="E46" s="484">
        <f>IF(+I14&lt;F45,I14,D46)</f>
        <v>1727.4047619047619</v>
      </c>
      <c r="F46" s="485">
        <f t="shared" si="19"/>
        <v>25073.086739769125</v>
      </c>
      <c r="G46" s="486">
        <f t="shared" si="20"/>
        <v>4523.6823092497234</v>
      </c>
      <c r="H46" s="455">
        <f t="shared" si="21"/>
        <v>4523.6823092497234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25073.086739769125</v>
      </c>
      <c r="E47" s="484">
        <f>IF(+I14&lt;F46,I14,D47)</f>
        <v>1727.4047619047619</v>
      </c>
      <c r="F47" s="485">
        <f t="shared" si="19"/>
        <v>23345.681977864362</v>
      </c>
      <c r="G47" s="486">
        <f t="shared" si="20"/>
        <v>4337.4486498553915</v>
      </c>
      <c r="H47" s="455">
        <f t="shared" si="21"/>
        <v>4337.4486498553915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23345.681977864362</v>
      </c>
      <c r="E48" s="484">
        <f>IF(+I14&lt;F47,I14,D48)</f>
        <v>1727.4047619047619</v>
      </c>
      <c r="F48" s="485">
        <f t="shared" si="19"/>
        <v>21618.277215959599</v>
      </c>
      <c r="G48" s="486">
        <f t="shared" si="20"/>
        <v>4151.2149904610596</v>
      </c>
      <c r="H48" s="455">
        <f t="shared" si="21"/>
        <v>4151.2149904610596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21618.277215959599</v>
      </c>
      <c r="E49" s="484">
        <f>IF(+I14&lt;F48,I14,D49)</f>
        <v>1727.4047619047619</v>
      </c>
      <c r="F49" s="485">
        <f t="shared" ref="F49:F72" si="22">+D49-E49</f>
        <v>19890.872454054836</v>
      </c>
      <c r="G49" s="486">
        <f t="shared" si="20"/>
        <v>3964.9813310667278</v>
      </c>
      <c r="H49" s="455">
        <f t="shared" si="21"/>
        <v>3964.9813310667278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3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19890.872454054836</v>
      </c>
      <c r="E50" s="484">
        <f>IF(+I14&lt;F49,I14,D50)</f>
        <v>1727.4047619047619</v>
      </c>
      <c r="F50" s="485">
        <f t="shared" si="22"/>
        <v>18163.467692150072</v>
      </c>
      <c r="G50" s="486">
        <f t="shared" si="20"/>
        <v>3778.7476716723963</v>
      </c>
      <c r="H50" s="455">
        <f t="shared" si="21"/>
        <v>3778.7476716723963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3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18163.467692150072</v>
      </c>
      <c r="E51" s="484">
        <f>IF(+I14&lt;F50,I14,D51)</f>
        <v>1727.4047619047619</v>
      </c>
      <c r="F51" s="485">
        <f t="shared" si="22"/>
        <v>16436.062930245309</v>
      </c>
      <c r="G51" s="486">
        <f t="shared" si="20"/>
        <v>3592.5140122780645</v>
      </c>
      <c r="H51" s="455">
        <f t="shared" si="21"/>
        <v>3592.5140122780645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3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16436.062930245309</v>
      </c>
      <c r="E52" s="484">
        <f>IF(+I14&lt;F51,I14,D52)</f>
        <v>1727.4047619047619</v>
      </c>
      <c r="F52" s="485">
        <f t="shared" si="22"/>
        <v>14708.658168340547</v>
      </c>
      <c r="G52" s="486">
        <f t="shared" si="20"/>
        <v>3406.280352883733</v>
      </c>
      <c r="H52" s="455">
        <f t="shared" si="21"/>
        <v>3406.280352883733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3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14708.658168340547</v>
      </c>
      <c r="E53" s="484">
        <f>IF(+I14&lt;F52,I14,D53)</f>
        <v>1727.4047619047619</v>
      </c>
      <c r="F53" s="485">
        <f t="shared" si="22"/>
        <v>12981.253406435786</v>
      </c>
      <c r="G53" s="486">
        <f t="shared" si="20"/>
        <v>3220.0466934894012</v>
      </c>
      <c r="H53" s="455">
        <f t="shared" si="21"/>
        <v>3220.0466934894012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3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12981.253406435786</v>
      </c>
      <c r="E54" s="484">
        <f>IF(+I14&lt;F53,I14,D54)</f>
        <v>1727.4047619047619</v>
      </c>
      <c r="F54" s="485">
        <f t="shared" si="22"/>
        <v>11253.848644531025</v>
      </c>
      <c r="G54" s="486">
        <f t="shared" si="20"/>
        <v>3033.8130340950693</v>
      </c>
      <c r="H54" s="455">
        <f t="shared" si="21"/>
        <v>3033.8130340950693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3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11253.848644531025</v>
      </c>
      <c r="E55" s="484">
        <f>IF(+I14&lt;F54,I14,D55)</f>
        <v>1727.4047619047619</v>
      </c>
      <c r="F55" s="485">
        <f t="shared" si="22"/>
        <v>9526.4438826262631</v>
      </c>
      <c r="G55" s="486">
        <f t="shared" si="20"/>
        <v>2847.5793747007383</v>
      </c>
      <c r="H55" s="455">
        <f t="shared" si="21"/>
        <v>2847.5793747007383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3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9526.4438826262631</v>
      </c>
      <c r="E56" s="484">
        <f>IF(+I14&lt;F55,I14,D56)</f>
        <v>1727.4047619047619</v>
      </c>
      <c r="F56" s="485">
        <f t="shared" si="22"/>
        <v>7799.0391207215016</v>
      </c>
      <c r="G56" s="486">
        <f t="shared" si="20"/>
        <v>2661.3457153064064</v>
      </c>
      <c r="H56" s="455">
        <f t="shared" si="21"/>
        <v>2661.3457153064064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3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7799.0391207215016</v>
      </c>
      <c r="E57" s="484">
        <f>IF(+I14&lt;F56,I14,D57)</f>
        <v>1727.4047619047619</v>
      </c>
      <c r="F57" s="485">
        <f t="shared" si="22"/>
        <v>6071.6343588167401</v>
      </c>
      <c r="G57" s="486">
        <f t="shared" si="20"/>
        <v>2475.112055912075</v>
      </c>
      <c r="H57" s="455">
        <f t="shared" si="21"/>
        <v>2475.112055912075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3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6071.6343588167401</v>
      </c>
      <c r="E58" s="484">
        <f>IF(+I14&lt;F57,I14,D58)</f>
        <v>1727.4047619047619</v>
      </c>
      <c r="F58" s="485">
        <f t="shared" si="22"/>
        <v>4344.2295969119787</v>
      </c>
      <c r="G58" s="486">
        <f t="shared" si="20"/>
        <v>2288.8783965177436</v>
      </c>
      <c r="H58" s="455">
        <f t="shared" si="21"/>
        <v>2288.8783965177436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3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4344.2295969119787</v>
      </c>
      <c r="E59" s="484">
        <f>IF(+I14&lt;F58,I14,D59)</f>
        <v>1727.4047619047619</v>
      </c>
      <c r="F59" s="485">
        <f t="shared" si="22"/>
        <v>2616.8248350072167</v>
      </c>
      <c r="G59" s="486">
        <f t="shared" si="20"/>
        <v>2102.6447371234121</v>
      </c>
      <c r="H59" s="455">
        <f t="shared" si="21"/>
        <v>2102.6447371234121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3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2616.8248350072167</v>
      </c>
      <c r="E60" s="484">
        <f>IF(+I14&lt;F59,I14,D60)</f>
        <v>1727.4047619047619</v>
      </c>
      <c r="F60" s="485">
        <f t="shared" si="22"/>
        <v>889.42007310245481</v>
      </c>
      <c r="G60" s="486">
        <f t="shared" si="20"/>
        <v>1916.4110777290803</v>
      </c>
      <c r="H60" s="455">
        <f t="shared" si="21"/>
        <v>1916.4110777290803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3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889.42007310245481</v>
      </c>
      <c r="E61" s="484">
        <f>IF(+I14&lt;F60,I14,D61)</f>
        <v>889.42007310245481</v>
      </c>
      <c r="F61" s="485">
        <f t="shared" si="22"/>
        <v>0</v>
      </c>
      <c r="G61" s="486">
        <f t="shared" si="20"/>
        <v>937.36481616603112</v>
      </c>
      <c r="H61" s="455">
        <f t="shared" si="21"/>
        <v>937.36481616603112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3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2"/>
        <v>0</v>
      </c>
      <c r="G62" s="486">
        <f t="shared" si="20"/>
        <v>0</v>
      </c>
      <c r="H62" s="455">
        <f t="shared" si="21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3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2"/>
        <v>0</v>
      </c>
      <c r="G63" s="486">
        <f t="shared" si="20"/>
        <v>0</v>
      </c>
      <c r="H63" s="455">
        <f t="shared" si="21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3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2"/>
        <v>0</v>
      </c>
      <c r="G64" s="486">
        <f t="shared" si="20"/>
        <v>0</v>
      </c>
      <c r="H64" s="455">
        <f t="shared" si="21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3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2"/>
        <v>0</v>
      </c>
      <c r="G65" s="486">
        <f t="shared" si="20"/>
        <v>0</v>
      </c>
      <c r="H65" s="455">
        <f t="shared" si="21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3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2"/>
        <v>0</v>
      </c>
      <c r="G66" s="486">
        <f t="shared" si="20"/>
        <v>0</v>
      </c>
      <c r="H66" s="455">
        <f t="shared" si="21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3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2"/>
        <v>0</v>
      </c>
      <c r="G67" s="486">
        <f t="shared" si="20"/>
        <v>0</v>
      </c>
      <c r="H67" s="455">
        <f t="shared" si="21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3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2"/>
        <v>0</v>
      </c>
      <c r="G68" s="486">
        <f t="shared" si="20"/>
        <v>0</v>
      </c>
      <c r="H68" s="455">
        <f t="shared" si="21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3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2"/>
        <v>0</v>
      </c>
      <c r="G69" s="486">
        <f t="shared" si="20"/>
        <v>0</v>
      </c>
      <c r="H69" s="455">
        <f t="shared" si="21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3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2"/>
        <v>0</v>
      </c>
      <c r="G70" s="486">
        <f t="shared" si="20"/>
        <v>0</v>
      </c>
      <c r="H70" s="455">
        <f t="shared" si="21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3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2"/>
        <v>0</v>
      </c>
      <c r="G71" s="486">
        <f t="shared" si="20"/>
        <v>0</v>
      </c>
      <c r="H71" s="455">
        <f t="shared" si="21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2"/>
        <v>0</v>
      </c>
      <c r="G72" s="490">
        <f t="shared" si="20"/>
        <v>0</v>
      </c>
      <c r="H72" s="490">
        <f t="shared" si="21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3"/>
    </row>
    <row r="73" spans="2:16">
      <c r="C73" s="347" t="s">
        <v>77</v>
      </c>
      <c r="D73" s="348"/>
      <c r="E73" s="348">
        <f>SUM(E17:E72)</f>
        <v>72551.000000000015</v>
      </c>
      <c r="F73" s="348"/>
      <c r="G73" s="348">
        <f>SUM(G17:G72)</f>
        <v>278769.23374156194</v>
      </c>
      <c r="H73" s="348">
        <f>SUM(H17:H72)</f>
        <v>278769.23374156194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9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7037.8367110732015</v>
      </c>
      <c r="N87" s="508">
        <f>IF(J92&lt;D11,0,VLOOKUP(J92,C17:O72,11))</f>
        <v>7037.8367110732015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7423.1221436915575</v>
      </c>
      <c r="N88" s="512">
        <f>IF(J92&lt;D11,0,VLOOKUP(J92,C99:P154,7))</f>
        <v>7423.1221436915575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Tulsa Southeast Upgrade (repl switches)*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385.28543261835603</v>
      </c>
      <c r="N89" s="517">
        <f>+N88-N87</f>
        <v>385.28543261835603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TP2004033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72551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1860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72551</v>
      </c>
      <c r="G99" s="537">
        <v>36276</v>
      </c>
      <c r="H99" s="538">
        <v>5762</v>
      </c>
      <c r="I99" s="539">
        <v>5762</v>
      </c>
      <c r="J99" s="478">
        <f t="shared" ref="J99:J130" si="27">+I99-H99</f>
        <v>0</v>
      </c>
      <c r="K99" s="478"/>
      <c r="L99" s="554">
        <v>0</v>
      </c>
      <c r="M99" s="477">
        <f t="shared" ref="M99:M130" si="28">IF(L99&lt;&gt;0,+H99-L99,0)</f>
        <v>0</v>
      </c>
      <c r="N99" s="554">
        <v>0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72551</v>
      </c>
      <c r="E100" s="561">
        <v>1369</v>
      </c>
      <c r="F100" s="479">
        <v>71182</v>
      </c>
      <c r="G100" s="479">
        <v>71867</v>
      </c>
      <c r="H100" s="480">
        <v>12785</v>
      </c>
      <c r="I100" s="481">
        <v>12785</v>
      </c>
      <c r="J100" s="478">
        <f t="shared" si="27"/>
        <v>0</v>
      </c>
      <c r="K100" s="478"/>
      <c r="L100" s="476">
        <v>12785</v>
      </c>
      <c r="M100" s="478">
        <f t="shared" si="28"/>
        <v>0</v>
      </c>
      <c r="N100" s="476">
        <v>12785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2009</v>
      </c>
      <c r="D101" s="473">
        <v>71182</v>
      </c>
      <c r="E101" s="480">
        <v>1296</v>
      </c>
      <c r="F101" s="479">
        <v>69886</v>
      </c>
      <c r="G101" s="479">
        <v>70534</v>
      </c>
      <c r="H101" s="480">
        <v>11608.65494705257</v>
      </c>
      <c r="I101" s="481">
        <v>11608.65494705257</v>
      </c>
      <c r="J101" s="478">
        <f t="shared" si="27"/>
        <v>0</v>
      </c>
      <c r="K101" s="478"/>
      <c r="L101" s="540">
        <f t="shared" ref="L101:L106" si="32">H101</f>
        <v>11608.65494705257</v>
      </c>
      <c r="M101" s="541">
        <f t="shared" si="28"/>
        <v>0</v>
      </c>
      <c r="N101" s="540">
        <f t="shared" ref="N101:N106" si="33">I101</f>
        <v>11608.65494705257</v>
      </c>
      <c r="O101" s="478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72">
        <f>IF(D93="","-",+C101+1)</f>
        <v>2010</v>
      </c>
      <c r="D102" s="473">
        <v>69886</v>
      </c>
      <c r="E102" s="480">
        <v>1423</v>
      </c>
      <c r="F102" s="479">
        <v>68463</v>
      </c>
      <c r="G102" s="479">
        <v>69174.5</v>
      </c>
      <c r="H102" s="480">
        <v>12547.312556925655</v>
      </c>
      <c r="I102" s="481">
        <v>12547.312556925655</v>
      </c>
      <c r="J102" s="478">
        <f t="shared" si="27"/>
        <v>0</v>
      </c>
      <c r="K102" s="478"/>
      <c r="L102" s="540">
        <f t="shared" si="32"/>
        <v>12547.312556925655</v>
      </c>
      <c r="M102" s="541">
        <f t="shared" si="28"/>
        <v>0</v>
      </c>
      <c r="N102" s="540">
        <f t="shared" si="33"/>
        <v>12547.312556925655</v>
      </c>
      <c r="O102" s="478">
        <f t="shared" si="29"/>
        <v>0</v>
      </c>
      <c r="P102" s="478">
        <f t="shared" si="30"/>
        <v>0</v>
      </c>
    </row>
    <row r="103" spans="1:16">
      <c r="B103" s="160" t="str">
        <f t="shared" si="31"/>
        <v/>
      </c>
      <c r="C103" s="472">
        <f>IF(D93="","-",+C102+1)</f>
        <v>2011</v>
      </c>
      <c r="D103" s="473">
        <v>68463</v>
      </c>
      <c r="E103" s="480">
        <v>1395</v>
      </c>
      <c r="F103" s="479">
        <v>67068</v>
      </c>
      <c r="G103" s="479">
        <v>67765.5</v>
      </c>
      <c r="H103" s="480">
        <v>10869.52752826227</v>
      </c>
      <c r="I103" s="481">
        <v>10869.52752826227</v>
      </c>
      <c r="J103" s="478">
        <f t="shared" si="27"/>
        <v>0</v>
      </c>
      <c r="K103" s="478"/>
      <c r="L103" s="540">
        <f t="shared" si="32"/>
        <v>10869.52752826227</v>
      </c>
      <c r="M103" s="541">
        <f t="shared" si="28"/>
        <v>0</v>
      </c>
      <c r="N103" s="540">
        <f t="shared" si="33"/>
        <v>10869.52752826227</v>
      </c>
      <c r="O103" s="478">
        <f t="shared" si="29"/>
        <v>0</v>
      </c>
      <c r="P103" s="478">
        <f t="shared" si="30"/>
        <v>0</v>
      </c>
    </row>
    <row r="104" spans="1:16">
      <c r="B104" s="160" t="str">
        <f t="shared" si="31"/>
        <v/>
      </c>
      <c r="C104" s="472">
        <f>IF(D93="","-",+C103+1)</f>
        <v>2012</v>
      </c>
      <c r="D104" s="473">
        <v>67068</v>
      </c>
      <c r="E104" s="480">
        <v>1395</v>
      </c>
      <c r="F104" s="479">
        <v>65673</v>
      </c>
      <c r="G104" s="479">
        <v>66370.5</v>
      </c>
      <c r="H104" s="480">
        <v>10942.760254640152</v>
      </c>
      <c r="I104" s="481">
        <v>10942.760254640152</v>
      </c>
      <c r="J104" s="478">
        <v>0</v>
      </c>
      <c r="K104" s="478"/>
      <c r="L104" s="540">
        <f t="shared" si="32"/>
        <v>10942.760254640152</v>
      </c>
      <c r="M104" s="541">
        <f t="shared" ref="M104:M109" si="34">IF(L104&lt;&gt;0,+H104-L104,0)</f>
        <v>0</v>
      </c>
      <c r="N104" s="540">
        <f t="shared" si="33"/>
        <v>10942.760254640152</v>
      </c>
      <c r="O104" s="478">
        <f t="shared" ref="O104:O109" si="35">IF(N104&lt;&gt;0,+I104-N104,0)</f>
        <v>0</v>
      </c>
      <c r="P104" s="478">
        <f t="shared" ref="P104:P109" si="36">+O104-M104</f>
        <v>0</v>
      </c>
    </row>
    <row r="105" spans="1:16">
      <c r="B105" s="160" t="str">
        <f t="shared" si="31"/>
        <v/>
      </c>
      <c r="C105" s="472">
        <f>IF(D93="","-",+C104+1)</f>
        <v>2013</v>
      </c>
      <c r="D105" s="473">
        <v>65673</v>
      </c>
      <c r="E105" s="480">
        <v>1395</v>
      </c>
      <c r="F105" s="479">
        <v>64278</v>
      </c>
      <c r="G105" s="479">
        <v>64975.5</v>
      </c>
      <c r="H105" s="480">
        <v>10747.547086020993</v>
      </c>
      <c r="I105" s="481">
        <v>10747.547086020993</v>
      </c>
      <c r="J105" s="478">
        <v>0</v>
      </c>
      <c r="K105" s="478"/>
      <c r="L105" s="540">
        <f t="shared" si="32"/>
        <v>10747.547086020993</v>
      </c>
      <c r="M105" s="541">
        <f t="shared" si="34"/>
        <v>0</v>
      </c>
      <c r="N105" s="540">
        <f t="shared" si="33"/>
        <v>10747.547086020993</v>
      </c>
      <c r="O105" s="478">
        <f t="shared" si="35"/>
        <v>0</v>
      </c>
      <c r="P105" s="478">
        <f t="shared" si="36"/>
        <v>0</v>
      </c>
    </row>
    <row r="106" spans="1:16">
      <c r="B106" s="160" t="str">
        <f t="shared" si="31"/>
        <v/>
      </c>
      <c r="C106" s="472">
        <f>IF(D93="","-",+C105+1)</f>
        <v>2014</v>
      </c>
      <c r="D106" s="473">
        <v>64278</v>
      </c>
      <c r="E106" s="480">
        <v>1395</v>
      </c>
      <c r="F106" s="479">
        <v>62883</v>
      </c>
      <c r="G106" s="479">
        <v>63580.5</v>
      </c>
      <c r="H106" s="480">
        <v>10334.158398344916</v>
      </c>
      <c r="I106" s="481">
        <v>10334.158398344916</v>
      </c>
      <c r="J106" s="478">
        <v>0</v>
      </c>
      <c r="K106" s="478"/>
      <c r="L106" s="540">
        <f t="shared" si="32"/>
        <v>10334.158398344916</v>
      </c>
      <c r="M106" s="541">
        <f t="shared" si="34"/>
        <v>0</v>
      </c>
      <c r="N106" s="540">
        <f t="shared" si="33"/>
        <v>10334.158398344916</v>
      </c>
      <c r="O106" s="478">
        <f t="shared" si="35"/>
        <v>0</v>
      </c>
      <c r="P106" s="478">
        <f t="shared" si="36"/>
        <v>0</v>
      </c>
    </row>
    <row r="107" spans="1:16">
      <c r="B107" s="160" t="str">
        <f t="shared" si="31"/>
        <v/>
      </c>
      <c r="C107" s="472">
        <f>IF(D93="","-",+C106+1)</f>
        <v>2015</v>
      </c>
      <c r="D107" s="473">
        <v>62883</v>
      </c>
      <c r="E107" s="480">
        <v>1395</v>
      </c>
      <c r="F107" s="479">
        <v>61488</v>
      </c>
      <c r="G107" s="479">
        <v>62185.5</v>
      </c>
      <c r="H107" s="480">
        <v>9879.7114789405332</v>
      </c>
      <c r="I107" s="481">
        <v>9879.7114789405332</v>
      </c>
      <c r="J107" s="478">
        <f t="shared" si="27"/>
        <v>0</v>
      </c>
      <c r="K107" s="478"/>
      <c r="L107" s="540">
        <f t="shared" ref="L107:L112" si="37">H107</f>
        <v>9879.7114789405332</v>
      </c>
      <c r="M107" s="541">
        <f t="shared" si="34"/>
        <v>0</v>
      </c>
      <c r="N107" s="540">
        <f t="shared" ref="N107:N112" si="38">I107</f>
        <v>9879.7114789405332</v>
      </c>
      <c r="O107" s="478">
        <f t="shared" si="35"/>
        <v>0</v>
      </c>
      <c r="P107" s="478">
        <f t="shared" si="36"/>
        <v>0</v>
      </c>
    </row>
    <row r="108" spans="1:16">
      <c r="B108" s="160" t="str">
        <f t="shared" si="31"/>
        <v/>
      </c>
      <c r="C108" s="472">
        <f>IF(D93="","-",+C107+1)</f>
        <v>2016</v>
      </c>
      <c r="D108" s="473">
        <v>61488</v>
      </c>
      <c r="E108" s="480">
        <v>1577</v>
      </c>
      <c r="F108" s="479">
        <v>59911</v>
      </c>
      <c r="G108" s="479">
        <v>60699.5</v>
      </c>
      <c r="H108" s="480">
        <v>9402.1214987986186</v>
      </c>
      <c r="I108" s="481">
        <v>9402.1214987986186</v>
      </c>
      <c r="J108" s="478">
        <f t="shared" si="27"/>
        <v>0</v>
      </c>
      <c r="K108" s="478"/>
      <c r="L108" s="540">
        <f t="shared" si="37"/>
        <v>9402.1214987986186</v>
      </c>
      <c r="M108" s="541">
        <f t="shared" si="34"/>
        <v>0</v>
      </c>
      <c r="N108" s="540">
        <f t="shared" si="38"/>
        <v>9402.1214987986186</v>
      </c>
      <c r="O108" s="478">
        <f t="shared" si="35"/>
        <v>0</v>
      </c>
      <c r="P108" s="478">
        <f t="shared" si="36"/>
        <v>0</v>
      </c>
    </row>
    <row r="109" spans="1:16">
      <c r="B109" s="160" t="str">
        <f t="shared" si="31"/>
        <v/>
      </c>
      <c r="C109" s="472">
        <f>IF(D93="","-",+C108+1)</f>
        <v>2017</v>
      </c>
      <c r="D109" s="473">
        <v>59911</v>
      </c>
      <c r="E109" s="480">
        <v>1577</v>
      </c>
      <c r="F109" s="479">
        <v>58334</v>
      </c>
      <c r="G109" s="479">
        <v>59122.5</v>
      </c>
      <c r="H109" s="480">
        <v>9076.8382024367129</v>
      </c>
      <c r="I109" s="481">
        <v>9076.8382024367129</v>
      </c>
      <c r="J109" s="478">
        <f t="shared" si="27"/>
        <v>0</v>
      </c>
      <c r="K109" s="478"/>
      <c r="L109" s="540">
        <f t="shared" si="37"/>
        <v>9076.8382024367129</v>
      </c>
      <c r="M109" s="541">
        <f t="shared" si="34"/>
        <v>0</v>
      </c>
      <c r="N109" s="540">
        <f t="shared" si="38"/>
        <v>9076.8382024367129</v>
      </c>
      <c r="O109" s="478">
        <f t="shared" si="35"/>
        <v>0</v>
      </c>
      <c r="P109" s="478">
        <f t="shared" si="36"/>
        <v>0</v>
      </c>
    </row>
    <row r="110" spans="1:16">
      <c r="B110" s="160" t="str">
        <f t="shared" si="31"/>
        <v/>
      </c>
      <c r="C110" s="472">
        <f>IF(D93="","-",+C109+1)</f>
        <v>2018</v>
      </c>
      <c r="D110" s="473">
        <v>58334</v>
      </c>
      <c r="E110" s="480">
        <v>1687</v>
      </c>
      <c r="F110" s="479">
        <v>56647</v>
      </c>
      <c r="G110" s="479">
        <v>57490.5</v>
      </c>
      <c r="H110" s="480">
        <v>7593.3191046629281</v>
      </c>
      <c r="I110" s="481">
        <v>7593.3191046629281</v>
      </c>
      <c r="J110" s="478">
        <f t="shared" si="27"/>
        <v>0</v>
      </c>
      <c r="K110" s="478"/>
      <c r="L110" s="540">
        <f t="shared" si="37"/>
        <v>7593.3191046629281</v>
      </c>
      <c r="M110" s="541">
        <f t="shared" ref="M110" si="39">IF(L110&lt;&gt;0,+H110-L110,0)</f>
        <v>0</v>
      </c>
      <c r="N110" s="540">
        <f t="shared" si="38"/>
        <v>7593.3191046629281</v>
      </c>
      <c r="O110" s="478">
        <f t="shared" ref="O110" si="40">IF(N110&lt;&gt;0,+I110-N110,0)</f>
        <v>0</v>
      </c>
      <c r="P110" s="478">
        <f t="shared" ref="P110" si="41">+O110-M110</f>
        <v>0</v>
      </c>
    </row>
    <row r="111" spans="1:16">
      <c r="B111" s="160" t="str">
        <f t="shared" si="31"/>
        <v/>
      </c>
      <c r="C111" s="472">
        <f>IF(D93="","-",+C110+1)</f>
        <v>2019</v>
      </c>
      <c r="D111" s="473">
        <v>56647</v>
      </c>
      <c r="E111" s="480">
        <v>1770</v>
      </c>
      <c r="F111" s="479">
        <v>54877</v>
      </c>
      <c r="G111" s="479">
        <v>55762</v>
      </c>
      <c r="H111" s="480">
        <v>7519.8443223081076</v>
      </c>
      <c r="I111" s="481">
        <v>7519.8443223081076</v>
      </c>
      <c r="J111" s="478">
        <f t="shared" si="27"/>
        <v>0</v>
      </c>
      <c r="K111" s="478"/>
      <c r="L111" s="540">
        <f t="shared" si="37"/>
        <v>7519.8443223081076</v>
      </c>
      <c r="M111" s="541">
        <f t="shared" ref="M111" si="42">IF(L111&lt;&gt;0,+H111-L111,0)</f>
        <v>0</v>
      </c>
      <c r="N111" s="540">
        <f t="shared" si="38"/>
        <v>7519.8443223081076</v>
      </c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2020</v>
      </c>
      <c r="D112" s="473">
        <v>54877</v>
      </c>
      <c r="E112" s="480">
        <v>1687</v>
      </c>
      <c r="F112" s="479">
        <v>53190</v>
      </c>
      <c r="G112" s="479">
        <v>54033.5</v>
      </c>
      <c r="H112" s="480">
        <v>7916.9139971406776</v>
      </c>
      <c r="I112" s="481">
        <v>7916.9139971406776</v>
      </c>
      <c r="J112" s="478">
        <f t="shared" si="27"/>
        <v>0</v>
      </c>
      <c r="K112" s="478"/>
      <c r="L112" s="540">
        <f t="shared" si="37"/>
        <v>7916.9139971406776</v>
      </c>
      <c r="M112" s="541">
        <f t="shared" ref="M112" si="43">IF(L112&lt;&gt;0,+H112-L112,0)</f>
        <v>0</v>
      </c>
      <c r="N112" s="540">
        <f t="shared" si="38"/>
        <v>7916.9139971406776</v>
      </c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2021</v>
      </c>
      <c r="D113" s="473">
        <v>53190</v>
      </c>
      <c r="E113" s="480">
        <v>1770</v>
      </c>
      <c r="F113" s="479">
        <v>51420</v>
      </c>
      <c r="G113" s="479">
        <v>52305</v>
      </c>
      <c r="H113" s="480">
        <v>7721.9320395107143</v>
      </c>
      <c r="I113" s="481">
        <v>7721.9320395107143</v>
      </c>
      <c r="J113" s="478">
        <f t="shared" si="27"/>
        <v>0</v>
      </c>
      <c r="K113" s="478"/>
      <c r="L113" s="540">
        <f t="shared" ref="L113" si="44">H113</f>
        <v>7721.9320395107143</v>
      </c>
      <c r="M113" s="541">
        <f t="shared" ref="M113" si="45">IF(L113&lt;&gt;0,+H113-L113,0)</f>
        <v>0</v>
      </c>
      <c r="N113" s="540">
        <f t="shared" ref="N113" si="46">I113</f>
        <v>7721.9320395107143</v>
      </c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2022</v>
      </c>
      <c r="D114" s="347">
        <f>IF(F113+SUM(E$99:E113)=D$92,F113,D$92-SUM(E$99:E113))</f>
        <v>51420</v>
      </c>
      <c r="E114" s="486">
        <f>IF(+J96&lt;F113,J96,D114)</f>
        <v>1860</v>
      </c>
      <c r="F114" s="485">
        <f t="shared" ref="F114:F154" si="47">+D114-E114</f>
        <v>49560</v>
      </c>
      <c r="G114" s="485">
        <f t="shared" ref="G114:G154" si="48">+(F114+D114)/2</f>
        <v>50490</v>
      </c>
      <c r="H114" s="486">
        <f t="shared" ref="H114:H153" si="49">(D114+F114)/2*J$94+E114</f>
        <v>7423.1221436915575</v>
      </c>
      <c r="I114" s="542">
        <f t="shared" ref="I114:I153" si="50">+J$95*G114+E114</f>
        <v>7423.1221436915575</v>
      </c>
      <c r="J114" s="478">
        <f t="shared" si="27"/>
        <v>0</v>
      </c>
      <c r="K114" s="478"/>
      <c r="L114" s="487"/>
      <c r="M114" s="478">
        <f t="shared" si="28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2023</v>
      </c>
      <c r="D115" s="347">
        <f>IF(F114+SUM(E$99:E114)=D$92,F114,D$92-SUM(E$99:E114))</f>
        <v>49560</v>
      </c>
      <c r="E115" s="486">
        <f>IF(+J96&lt;F114,J96,D115)</f>
        <v>1860</v>
      </c>
      <c r="F115" s="485">
        <f t="shared" si="47"/>
        <v>47700</v>
      </c>
      <c r="G115" s="485">
        <f t="shared" si="48"/>
        <v>48630</v>
      </c>
      <c r="H115" s="486">
        <f t="shared" si="49"/>
        <v>7218.1824093428486</v>
      </c>
      <c r="I115" s="542">
        <f t="shared" si="50"/>
        <v>7218.1824093428486</v>
      </c>
      <c r="J115" s="478">
        <f t="shared" si="27"/>
        <v>0</v>
      </c>
      <c r="K115" s="478"/>
      <c r="L115" s="487"/>
      <c r="M115" s="478">
        <f t="shared" si="28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2024</v>
      </c>
      <c r="D116" s="347">
        <f>IF(F115+SUM(E$99:E115)=D$92,F115,D$92-SUM(E$99:E115))</f>
        <v>47700</v>
      </c>
      <c r="E116" s="486">
        <f>IF(+J96&lt;F115,J96,D116)</f>
        <v>1860</v>
      </c>
      <c r="F116" s="485">
        <f t="shared" si="47"/>
        <v>45840</v>
      </c>
      <c r="G116" s="485">
        <f t="shared" si="48"/>
        <v>46770</v>
      </c>
      <c r="H116" s="486">
        <f t="shared" si="49"/>
        <v>7013.2426749941405</v>
      </c>
      <c r="I116" s="542">
        <f t="shared" si="50"/>
        <v>7013.2426749941405</v>
      </c>
      <c r="J116" s="478">
        <f t="shared" si="27"/>
        <v>0</v>
      </c>
      <c r="K116" s="478"/>
      <c r="L116" s="487"/>
      <c r="M116" s="478">
        <f t="shared" si="28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2025</v>
      </c>
      <c r="D117" s="347">
        <f>IF(F116+SUM(E$99:E116)=D$92,F116,D$92-SUM(E$99:E116))</f>
        <v>45840</v>
      </c>
      <c r="E117" s="486">
        <f>IF(+J96&lt;F116,J96,D117)</f>
        <v>1860</v>
      </c>
      <c r="F117" s="485">
        <f t="shared" si="47"/>
        <v>43980</v>
      </c>
      <c r="G117" s="485">
        <f t="shared" si="48"/>
        <v>44910</v>
      </c>
      <c r="H117" s="486">
        <f t="shared" si="49"/>
        <v>6808.3029406454316</v>
      </c>
      <c r="I117" s="542">
        <f t="shared" si="50"/>
        <v>6808.3029406454316</v>
      </c>
      <c r="J117" s="478">
        <f t="shared" si="27"/>
        <v>0</v>
      </c>
      <c r="K117" s="478"/>
      <c r="L117" s="487"/>
      <c r="M117" s="478">
        <f t="shared" si="28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2026</v>
      </c>
      <c r="D118" s="347">
        <f>IF(F117+SUM(E$99:E117)=D$92,F117,D$92-SUM(E$99:E117))</f>
        <v>43980</v>
      </c>
      <c r="E118" s="486">
        <f>IF(+J96&lt;F117,J96,D118)</f>
        <v>1860</v>
      </c>
      <c r="F118" s="485">
        <f t="shared" si="47"/>
        <v>42120</v>
      </c>
      <c r="G118" s="485">
        <f t="shared" si="48"/>
        <v>43050</v>
      </c>
      <c r="H118" s="486">
        <f t="shared" si="49"/>
        <v>6603.3632062967226</v>
      </c>
      <c r="I118" s="542">
        <f t="shared" si="50"/>
        <v>6603.3632062967226</v>
      </c>
      <c r="J118" s="478">
        <f t="shared" si="27"/>
        <v>0</v>
      </c>
      <c r="K118" s="478"/>
      <c r="L118" s="487"/>
      <c r="M118" s="478">
        <f t="shared" si="28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2027</v>
      </c>
      <c r="D119" s="347">
        <f>IF(F118+SUM(E$99:E118)=D$92,F118,D$92-SUM(E$99:E118))</f>
        <v>42120</v>
      </c>
      <c r="E119" s="486">
        <f>IF(+J96&lt;F118,J96,D119)</f>
        <v>1860</v>
      </c>
      <c r="F119" s="485">
        <f t="shared" si="47"/>
        <v>40260</v>
      </c>
      <c r="G119" s="485">
        <f t="shared" si="48"/>
        <v>41190</v>
      </c>
      <c r="H119" s="486">
        <f t="shared" si="49"/>
        <v>6398.4234719480146</v>
      </c>
      <c r="I119" s="542">
        <f t="shared" si="50"/>
        <v>6398.4234719480146</v>
      </c>
      <c r="J119" s="478">
        <f t="shared" si="27"/>
        <v>0</v>
      </c>
      <c r="K119" s="478"/>
      <c r="L119" s="487"/>
      <c r="M119" s="478">
        <f t="shared" si="28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2028</v>
      </c>
      <c r="D120" s="347">
        <f>IF(F119+SUM(E$99:E119)=D$92,F119,D$92-SUM(E$99:E119))</f>
        <v>40260</v>
      </c>
      <c r="E120" s="486">
        <f>IF(+J96&lt;F119,J96,D120)</f>
        <v>1860</v>
      </c>
      <c r="F120" s="485">
        <f t="shared" si="47"/>
        <v>38400</v>
      </c>
      <c r="G120" s="485">
        <f t="shared" si="48"/>
        <v>39330</v>
      </c>
      <c r="H120" s="486">
        <f t="shared" si="49"/>
        <v>6193.4837375993056</v>
      </c>
      <c r="I120" s="542">
        <f t="shared" si="50"/>
        <v>6193.4837375993056</v>
      </c>
      <c r="J120" s="478">
        <f t="shared" si="27"/>
        <v>0</v>
      </c>
      <c r="K120" s="478"/>
      <c r="L120" s="487"/>
      <c r="M120" s="478">
        <f t="shared" si="28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2029</v>
      </c>
      <c r="D121" s="347">
        <f>IF(F120+SUM(E$99:E120)=D$92,F120,D$92-SUM(E$99:E120))</f>
        <v>38400</v>
      </c>
      <c r="E121" s="486">
        <f>IF(+J96&lt;F120,J96,D121)</f>
        <v>1860</v>
      </c>
      <c r="F121" s="485">
        <f t="shared" si="47"/>
        <v>36540</v>
      </c>
      <c r="G121" s="485">
        <f t="shared" si="48"/>
        <v>37470</v>
      </c>
      <c r="H121" s="486">
        <f t="shared" si="49"/>
        <v>5988.5440032505976</v>
      </c>
      <c r="I121" s="542">
        <f t="shared" si="50"/>
        <v>5988.5440032505976</v>
      </c>
      <c r="J121" s="478">
        <f t="shared" si="27"/>
        <v>0</v>
      </c>
      <c r="K121" s="478"/>
      <c r="L121" s="487"/>
      <c r="M121" s="478">
        <f t="shared" si="28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2030</v>
      </c>
      <c r="D122" s="347">
        <f>IF(F121+SUM(E$99:E121)=D$92,F121,D$92-SUM(E$99:E121))</f>
        <v>36540</v>
      </c>
      <c r="E122" s="486">
        <f>IF(+J96&lt;F121,J96,D122)</f>
        <v>1860</v>
      </c>
      <c r="F122" s="485">
        <f t="shared" si="47"/>
        <v>34680</v>
      </c>
      <c r="G122" s="485">
        <f t="shared" si="48"/>
        <v>35610</v>
      </c>
      <c r="H122" s="486">
        <f t="shared" si="49"/>
        <v>5783.6042689018886</v>
      </c>
      <c r="I122" s="542">
        <f t="shared" si="50"/>
        <v>5783.6042689018886</v>
      </c>
      <c r="J122" s="478">
        <f t="shared" si="27"/>
        <v>0</v>
      </c>
      <c r="K122" s="478"/>
      <c r="L122" s="487"/>
      <c r="M122" s="478">
        <f t="shared" si="28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2031</v>
      </c>
      <c r="D123" s="347">
        <f>IF(F122+SUM(E$99:E122)=D$92,F122,D$92-SUM(E$99:E122))</f>
        <v>34680</v>
      </c>
      <c r="E123" s="486">
        <f>IF(+J96&lt;F122,J96,D123)</f>
        <v>1860</v>
      </c>
      <c r="F123" s="485">
        <f t="shared" si="47"/>
        <v>32820</v>
      </c>
      <c r="G123" s="485">
        <f t="shared" si="48"/>
        <v>33750</v>
      </c>
      <c r="H123" s="486">
        <f t="shared" si="49"/>
        <v>5578.6645345531797</v>
      </c>
      <c r="I123" s="542">
        <f t="shared" si="50"/>
        <v>5578.6645345531797</v>
      </c>
      <c r="J123" s="478">
        <f t="shared" si="27"/>
        <v>0</v>
      </c>
      <c r="K123" s="478"/>
      <c r="L123" s="487"/>
      <c r="M123" s="478">
        <f t="shared" si="28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2032</v>
      </c>
      <c r="D124" s="347">
        <f>IF(F123+SUM(E$99:E123)=D$92,F123,D$92-SUM(E$99:E123))</f>
        <v>32820</v>
      </c>
      <c r="E124" s="486">
        <f>IF(+J96&lt;F123,J96,D124)</f>
        <v>1860</v>
      </c>
      <c r="F124" s="485">
        <f t="shared" si="47"/>
        <v>30960</v>
      </c>
      <c r="G124" s="485">
        <f t="shared" si="48"/>
        <v>31890</v>
      </c>
      <c r="H124" s="486">
        <f t="shared" si="49"/>
        <v>5373.7248002044716</v>
      </c>
      <c r="I124" s="542">
        <f t="shared" si="50"/>
        <v>5373.7248002044716</v>
      </c>
      <c r="J124" s="478">
        <f t="shared" si="27"/>
        <v>0</v>
      </c>
      <c r="K124" s="478"/>
      <c r="L124" s="487"/>
      <c r="M124" s="478">
        <f t="shared" si="28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2033</v>
      </c>
      <c r="D125" s="347">
        <f>IF(F124+SUM(E$99:E124)=D$92,F124,D$92-SUM(E$99:E124))</f>
        <v>30960</v>
      </c>
      <c r="E125" s="486">
        <f>IF(+J96&lt;F124,J96,D125)</f>
        <v>1860</v>
      </c>
      <c r="F125" s="485">
        <f t="shared" si="47"/>
        <v>29100</v>
      </c>
      <c r="G125" s="485">
        <f t="shared" si="48"/>
        <v>30030</v>
      </c>
      <c r="H125" s="486">
        <f t="shared" si="49"/>
        <v>5168.7850658557627</v>
      </c>
      <c r="I125" s="542">
        <f t="shared" si="50"/>
        <v>5168.7850658557627</v>
      </c>
      <c r="J125" s="478">
        <f t="shared" si="27"/>
        <v>0</v>
      </c>
      <c r="K125" s="478"/>
      <c r="L125" s="487"/>
      <c r="M125" s="478">
        <f t="shared" si="28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2034</v>
      </c>
      <c r="D126" s="347">
        <f>IF(F125+SUM(E$99:E125)=D$92,F125,D$92-SUM(E$99:E125))</f>
        <v>29100</v>
      </c>
      <c r="E126" s="486">
        <f>IF(+J96&lt;F125,J96,D126)</f>
        <v>1860</v>
      </c>
      <c r="F126" s="485">
        <f t="shared" si="47"/>
        <v>27240</v>
      </c>
      <c r="G126" s="485">
        <f t="shared" si="48"/>
        <v>28170</v>
      </c>
      <c r="H126" s="486">
        <f t="shared" si="49"/>
        <v>4963.8453315070547</v>
      </c>
      <c r="I126" s="542">
        <f t="shared" si="50"/>
        <v>4963.8453315070547</v>
      </c>
      <c r="J126" s="478">
        <f t="shared" si="27"/>
        <v>0</v>
      </c>
      <c r="K126" s="478"/>
      <c r="L126" s="487"/>
      <c r="M126" s="478">
        <f t="shared" si="28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2035</v>
      </c>
      <c r="D127" s="347">
        <f>IF(F126+SUM(E$99:E126)=D$92,F126,D$92-SUM(E$99:E126))</f>
        <v>27240</v>
      </c>
      <c r="E127" s="486">
        <f>IF(+J96&lt;F126,J96,D127)</f>
        <v>1860</v>
      </c>
      <c r="F127" s="485">
        <f t="shared" si="47"/>
        <v>25380</v>
      </c>
      <c r="G127" s="485">
        <f t="shared" si="48"/>
        <v>26310</v>
      </c>
      <c r="H127" s="486">
        <f t="shared" si="49"/>
        <v>4758.9055971583457</v>
      </c>
      <c r="I127" s="542">
        <f t="shared" si="50"/>
        <v>4758.9055971583457</v>
      </c>
      <c r="J127" s="478">
        <f t="shared" si="27"/>
        <v>0</v>
      </c>
      <c r="K127" s="478"/>
      <c r="L127" s="487"/>
      <c r="M127" s="478">
        <f t="shared" si="28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2036</v>
      </c>
      <c r="D128" s="347">
        <f>IF(F127+SUM(E$99:E127)=D$92,F127,D$92-SUM(E$99:E127))</f>
        <v>25380</v>
      </c>
      <c r="E128" s="486">
        <f>IF(+J96&lt;F127,J96,D128)</f>
        <v>1860</v>
      </c>
      <c r="F128" s="485">
        <f t="shared" si="47"/>
        <v>23520</v>
      </c>
      <c r="G128" s="485">
        <f t="shared" si="48"/>
        <v>24450</v>
      </c>
      <c r="H128" s="486">
        <f t="shared" si="49"/>
        <v>4553.9658628096367</v>
      </c>
      <c r="I128" s="542">
        <f t="shared" si="50"/>
        <v>4553.9658628096367</v>
      </c>
      <c r="J128" s="478">
        <f t="shared" si="27"/>
        <v>0</v>
      </c>
      <c r="K128" s="478"/>
      <c r="L128" s="487"/>
      <c r="M128" s="478">
        <f t="shared" si="28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2037</v>
      </c>
      <c r="D129" s="347">
        <f>IF(F128+SUM(E$99:E128)=D$92,F128,D$92-SUM(E$99:E128))</f>
        <v>23520</v>
      </c>
      <c r="E129" s="486">
        <f>IF(+J96&lt;F128,J96,D129)</f>
        <v>1860</v>
      </c>
      <c r="F129" s="485">
        <f t="shared" si="47"/>
        <v>21660</v>
      </c>
      <c r="G129" s="485">
        <f t="shared" si="48"/>
        <v>22590</v>
      </c>
      <c r="H129" s="486">
        <f t="shared" si="49"/>
        <v>4349.0261284609287</v>
      </c>
      <c r="I129" s="542">
        <f t="shared" si="50"/>
        <v>4349.0261284609287</v>
      </c>
      <c r="J129" s="478">
        <f t="shared" si="27"/>
        <v>0</v>
      </c>
      <c r="K129" s="478"/>
      <c r="L129" s="487"/>
      <c r="M129" s="478">
        <f t="shared" si="28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2038</v>
      </c>
      <c r="D130" s="347">
        <f>IF(F129+SUM(E$99:E129)=D$92,F129,D$92-SUM(E$99:E129))</f>
        <v>21660</v>
      </c>
      <c r="E130" s="486">
        <f>IF(+J96&lt;F129,J96,D130)</f>
        <v>1860</v>
      </c>
      <c r="F130" s="485">
        <f t="shared" si="47"/>
        <v>19800</v>
      </c>
      <c r="G130" s="485">
        <f t="shared" si="48"/>
        <v>20730</v>
      </c>
      <c r="H130" s="486">
        <f t="shared" si="49"/>
        <v>4144.0863941122198</v>
      </c>
      <c r="I130" s="542">
        <f t="shared" si="50"/>
        <v>4144.0863941122198</v>
      </c>
      <c r="J130" s="478">
        <f t="shared" si="27"/>
        <v>0</v>
      </c>
      <c r="K130" s="478"/>
      <c r="L130" s="487"/>
      <c r="M130" s="478">
        <f t="shared" si="28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2039</v>
      </c>
      <c r="D131" s="347">
        <f>IF(F130+SUM(E$99:E130)=D$92,F130,D$92-SUM(E$99:E130))</f>
        <v>19800</v>
      </c>
      <c r="E131" s="486">
        <f>IF(+J96&lt;F130,J96,D131)</f>
        <v>1860</v>
      </c>
      <c r="F131" s="485">
        <f t="shared" si="47"/>
        <v>17940</v>
      </c>
      <c r="G131" s="485">
        <f t="shared" si="48"/>
        <v>18870</v>
      </c>
      <c r="H131" s="486">
        <f t="shared" si="49"/>
        <v>3939.1466597635113</v>
      </c>
      <c r="I131" s="542">
        <f t="shared" si="50"/>
        <v>3939.1466597635113</v>
      </c>
      <c r="J131" s="478">
        <f t="shared" ref="J131:J154" si="51">+I541-H541</f>
        <v>0</v>
      </c>
      <c r="K131" s="478"/>
      <c r="L131" s="487"/>
      <c r="M131" s="478">
        <f t="shared" ref="M131:M154" si="52">IF(L541&lt;&gt;0,+H541-L541,0)</f>
        <v>0</v>
      </c>
      <c r="N131" s="487"/>
      <c r="O131" s="478">
        <f t="shared" ref="O131:O154" si="53">IF(N541&lt;&gt;0,+I541-N541,0)</f>
        <v>0</v>
      </c>
      <c r="P131" s="478">
        <f t="shared" ref="P131:P154" si="54">+O541-M541</f>
        <v>0</v>
      </c>
    </row>
    <row r="132" spans="2:16">
      <c r="B132" s="160" t="str">
        <f t="shared" si="31"/>
        <v/>
      </c>
      <c r="C132" s="472">
        <f>IF(D93="","-",+C131+1)</f>
        <v>2040</v>
      </c>
      <c r="D132" s="347">
        <f>IF(F131+SUM(E$99:E131)=D$92,F131,D$92-SUM(E$99:E131))</f>
        <v>17940</v>
      </c>
      <c r="E132" s="486">
        <f>IF(+J96&lt;F131,J96,D132)</f>
        <v>1860</v>
      </c>
      <c r="F132" s="485">
        <f t="shared" si="47"/>
        <v>16080</v>
      </c>
      <c r="G132" s="485">
        <f t="shared" si="48"/>
        <v>17010</v>
      </c>
      <c r="H132" s="486">
        <f t="shared" si="49"/>
        <v>3734.2069254148028</v>
      </c>
      <c r="I132" s="542">
        <f t="shared" si="50"/>
        <v>3734.2069254148028</v>
      </c>
      <c r="J132" s="478">
        <f t="shared" si="51"/>
        <v>0</v>
      </c>
      <c r="K132" s="478"/>
      <c r="L132" s="487"/>
      <c r="M132" s="478">
        <f t="shared" si="52"/>
        <v>0</v>
      </c>
      <c r="N132" s="487"/>
      <c r="O132" s="478">
        <f t="shared" si="53"/>
        <v>0</v>
      </c>
      <c r="P132" s="478">
        <f t="shared" si="54"/>
        <v>0</v>
      </c>
    </row>
    <row r="133" spans="2:16">
      <c r="B133" s="160" t="str">
        <f t="shared" si="31"/>
        <v/>
      </c>
      <c r="C133" s="472">
        <f>IF(D93="","-",+C132+1)</f>
        <v>2041</v>
      </c>
      <c r="D133" s="347">
        <f>IF(F132+SUM(E$99:E132)=D$92,F132,D$92-SUM(E$99:E132))</f>
        <v>16080</v>
      </c>
      <c r="E133" s="486">
        <f>IF(+J96&lt;F132,J96,D133)</f>
        <v>1860</v>
      </c>
      <c r="F133" s="485">
        <f t="shared" si="47"/>
        <v>14220</v>
      </c>
      <c r="G133" s="485">
        <f t="shared" si="48"/>
        <v>15150</v>
      </c>
      <c r="H133" s="486">
        <f t="shared" si="49"/>
        <v>3529.2671910660943</v>
      </c>
      <c r="I133" s="542">
        <f t="shared" si="50"/>
        <v>3529.2671910660943</v>
      </c>
      <c r="J133" s="478">
        <f t="shared" si="51"/>
        <v>0</v>
      </c>
      <c r="K133" s="478"/>
      <c r="L133" s="487"/>
      <c r="M133" s="478">
        <f t="shared" si="52"/>
        <v>0</v>
      </c>
      <c r="N133" s="487"/>
      <c r="O133" s="478">
        <f t="shared" si="53"/>
        <v>0</v>
      </c>
      <c r="P133" s="478">
        <f t="shared" si="54"/>
        <v>0</v>
      </c>
    </row>
    <row r="134" spans="2:16">
      <c r="B134" s="160" t="str">
        <f t="shared" si="31"/>
        <v/>
      </c>
      <c r="C134" s="472">
        <f>IF(D93="","-",+C133+1)</f>
        <v>2042</v>
      </c>
      <c r="D134" s="347">
        <f>IF(F133+SUM(E$99:E133)=D$92,F133,D$92-SUM(E$99:E133))</f>
        <v>14220</v>
      </c>
      <c r="E134" s="486">
        <f>IF(+J96&lt;F133,J96,D134)</f>
        <v>1860</v>
      </c>
      <c r="F134" s="485">
        <f t="shared" si="47"/>
        <v>12360</v>
      </c>
      <c r="G134" s="485">
        <f t="shared" si="48"/>
        <v>13290</v>
      </c>
      <c r="H134" s="486">
        <f t="shared" si="49"/>
        <v>3324.3274567173858</v>
      </c>
      <c r="I134" s="542">
        <f t="shared" si="50"/>
        <v>3324.3274567173858</v>
      </c>
      <c r="J134" s="478">
        <f t="shared" si="51"/>
        <v>0</v>
      </c>
      <c r="K134" s="478"/>
      <c r="L134" s="487"/>
      <c r="M134" s="478">
        <f t="shared" si="52"/>
        <v>0</v>
      </c>
      <c r="N134" s="487"/>
      <c r="O134" s="478">
        <f t="shared" si="53"/>
        <v>0</v>
      </c>
      <c r="P134" s="478">
        <f t="shared" si="54"/>
        <v>0</v>
      </c>
    </row>
    <row r="135" spans="2:16">
      <c r="B135" s="160" t="str">
        <f t="shared" si="31"/>
        <v/>
      </c>
      <c r="C135" s="472">
        <f>IF(D93="","-",+C134+1)</f>
        <v>2043</v>
      </c>
      <c r="D135" s="347">
        <f>IF(F134+SUM(E$99:E134)=D$92,F134,D$92-SUM(E$99:E134))</f>
        <v>12360</v>
      </c>
      <c r="E135" s="486">
        <f>IF(+J96&lt;F134,J96,D135)</f>
        <v>1860</v>
      </c>
      <c r="F135" s="485">
        <f t="shared" si="47"/>
        <v>10500</v>
      </c>
      <c r="G135" s="485">
        <f t="shared" si="48"/>
        <v>11430</v>
      </c>
      <c r="H135" s="486">
        <f t="shared" si="49"/>
        <v>3119.3877223686768</v>
      </c>
      <c r="I135" s="542">
        <f t="shared" si="50"/>
        <v>3119.3877223686768</v>
      </c>
      <c r="J135" s="478">
        <f t="shared" si="51"/>
        <v>0</v>
      </c>
      <c r="K135" s="478"/>
      <c r="L135" s="487"/>
      <c r="M135" s="478">
        <f t="shared" si="52"/>
        <v>0</v>
      </c>
      <c r="N135" s="487"/>
      <c r="O135" s="478">
        <f t="shared" si="53"/>
        <v>0</v>
      </c>
      <c r="P135" s="478">
        <f t="shared" si="54"/>
        <v>0</v>
      </c>
    </row>
    <row r="136" spans="2:16">
      <c r="B136" s="160" t="str">
        <f t="shared" si="31"/>
        <v/>
      </c>
      <c r="C136" s="472">
        <f>IF(D93="","-",+C135+1)</f>
        <v>2044</v>
      </c>
      <c r="D136" s="347">
        <f>IF(F135+SUM(E$99:E135)=D$92,F135,D$92-SUM(E$99:E135))</f>
        <v>10500</v>
      </c>
      <c r="E136" s="486">
        <f>IF(+J96&lt;F135,J96,D136)</f>
        <v>1860</v>
      </c>
      <c r="F136" s="485">
        <f t="shared" si="47"/>
        <v>8640</v>
      </c>
      <c r="G136" s="485">
        <f t="shared" si="48"/>
        <v>9570</v>
      </c>
      <c r="H136" s="486">
        <f t="shared" si="49"/>
        <v>2914.4479880199683</v>
      </c>
      <c r="I136" s="542">
        <f t="shared" si="50"/>
        <v>2914.4479880199683</v>
      </c>
      <c r="J136" s="478">
        <f t="shared" si="51"/>
        <v>0</v>
      </c>
      <c r="K136" s="478"/>
      <c r="L136" s="487"/>
      <c r="M136" s="478">
        <f t="shared" si="52"/>
        <v>0</v>
      </c>
      <c r="N136" s="487"/>
      <c r="O136" s="478">
        <f t="shared" si="53"/>
        <v>0</v>
      </c>
      <c r="P136" s="478">
        <f t="shared" si="54"/>
        <v>0</v>
      </c>
    </row>
    <row r="137" spans="2:16">
      <c r="B137" s="160" t="str">
        <f t="shared" si="31"/>
        <v/>
      </c>
      <c r="C137" s="472">
        <f>IF(D93="","-",+C136+1)</f>
        <v>2045</v>
      </c>
      <c r="D137" s="347">
        <f>IF(F136+SUM(E$99:E136)=D$92,F136,D$92-SUM(E$99:E136))</f>
        <v>8640</v>
      </c>
      <c r="E137" s="486">
        <f>IF(+J96&lt;F136,J96,D137)</f>
        <v>1860</v>
      </c>
      <c r="F137" s="485">
        <f t="shared" si="47"/>
        <v>6780</v>
      </c>
      <c r="G137" s="485">
        <f t="shared" si="48"/>
        <v>7710</v>
      </c>
      <c r="H137" s="486">
        <f t="shared" si="49"/>
        <v>2709.5082536712598</v>
      </c>
      <c r="I137" s="542">
        <f t="shared" si="50"/>
        <v>2709.5082536712598</v>
      </c>
      <c r="J137" s="478">
        <f t="shared" si="51"/>
        <v>0</v>
      </c>
      <c r="K137" s="478"/>
      <c r="L137" s="487"/>
      <c r="M137" s="478">
        <f t="shared" si="52"/>
        <v>0</v>
      </c>
      <c r="N137" s="487"/>
      <c r="O137" s="478">
        <f t="shared" si="53"/>
        <v>0</v>
      </c>
      <c r="P137" s="478">
        <f t="shared" si="54"/>
        <v>0</v>
      </c>
    </row>
    <row r="138" spans="2:16">
      <c r="B138" s="160" t="str">
        <f t="shared" si="31"/>
        <v/>
      </c>
      <c r="C138" s="472">
        <f>IF(D93="","-",+C137+1)</f>
        <v>2046</v>
      </c>
      <c r="D138" s="347">
        <f>IF(F137+SUM(E$99:E137)=D$92,F137,D$92-SUM(E$99:E137))</f>
        <v>6780</v>
      </c>
      <c r="E138" s="486">
        <f>IF(+J96&lt;F137,J96,D138)</f>
        <v>1860</v>
      </c>
      <c r="F138" s="485">
        <f t="shared" si="47"/>
        <v>4920</v>
      </c>
      <c r="G138" s="485">
        <f t="shared" si="48"/>
        <v>5850</v>
      </c>
      <c r="H138" s="486">
        <f t="shared" si="49"/>
        <v>2504.5685193225513</v>
      </c>
      <c r="I138" s="542">
        <f t="shared" si="50"/>
        <v>2504.5685193225513</v>
      </c>
      <c r="J138" s="478">
        <f t="shared" si="51"/>
        <v>0</v>
      </c>
      <c r="K138" s="478"/>
      <c r="L138" s="487"/>
      <c r="M138" s="478">
        <f t="shared" si="52"/>
        <v>0</v>
      </c>
      <c r="N138" s="487"/>
      <c r="O138" s="478">
        <f t="shared" si="53"/>
        <v>0</v>
      </c>
      <c r="P138" s="478">
        <f t="shared" si="54"/>
        <v>0</v>
      </c>
    </row>
    <row r="139" spans="2:16">
      <c r="B139" s="160" t="str">
        <f t="shared" si="31"/>
        <v/>
      </c>
      <c r="C139" s="472">
        <f>IF(D93="","-",+C138+1)</f>
        <v>2047</v>
      </c>
      <c r="D139" s="347">
        <f>IF(F138+SUM(E$99:E138)=D$92,F138,D$92-SUM(E$99:E138))</f>
        <v>4920</v>
      </c>
      <c r="E139" s="486">
        <f>IF(+J96&lt;F138,J96,D139)</f>
        <v>1860</v>
      </c>
      <c r="F139" s="485">
        <f t="shared" si="47"/>
        <v>3060</v>
      </c>
      <c r="G139" s="485">
        <f t="shared" si="48"/>
        <v>3990</v>
      </c>
      <c r="H139" s="486">
        <f t="shared" si="49"/>
        <v>2299.6287849738428</v>
      </c>
      <c r="I139" s="542">
        <f t="shared" si="50"/>
        <v>2299.6287849738428</v>
      </c>
      <c r="J139" s="478">
        <f t="shared" si="51"/>
        <v>0</v>
      </c>
      <c r="K139" s="478"/>
      <c r="L139" s="487"/>
      <c r="M139" s="478">
        <f t="shared" si="52"/>
        <v>0</v>
      </c>
      <c r="N139" s="487"/>
      <c r="O139" s="478">
        <f t="shared" si="53"/>
        <v>0</v>
      </c>
      <c r="P139" s="478">
        <f t="shared" si="54"/>
        <v>0</v>
      </c>
    </row>
    <row r="140" spans="2:16">
      <c r="B140" s="160" t="str">
        <f t="shared" si="31"/>
        <v/>
      </c>
      <c r="C140" s="472">
        <f>IF(D93="","-",+C139+1)</f>
        <v>2048</v>
      </c>
      <c r="D140" s="347">
        <f>IF(F139+SUM(E$99:E139)=D$92,F139,D$92-SUM(E$99:E139))</f>
        <v>3060</v>
      </c>
      <c r="E140" s="486">
        <f>IF(+J96&lt;F139,J96,D140)</f>
        <v>1860</v>
      </c>
      <c r="F140" s="485">
        <f t="shared" si="47"/>
        <v>1200</v>
      </c>
      <c r="G140" s="485">
        <f t="shared" si="48"/>
        <v>2130</v>
      </c>
      <c r="H140" s="486">
        <f t="shared" si="49"/>
        <v>2094.6890506251339</v>
      </c>
      <c r="I140" s="542">
        <f t="shared" si="50"/>
        <v>2094.6890506251339</v>
      </c>
      <c r="J140" s="478">
        <f t="shared" si="51"/>
        <v>0</v>
      </c>
      <c r="K140" s="478"/>
      <c r="L140" s="487"/>
      <c r="M140" s="478">
        <f t="shared" si="52"/>
        <v>0</v>
      </c>
      <c r="N140" s="487"/>
      <c r="O140" s="478">
        <f t="shared" si="53"/>
        <v>0</v>
      </c>
      <c r="P140" s="478">
        <f t="shared" si="54"/>
        <v>0</v>
      </c>
    </row>
    <row r="141" spans="2:16">
      <c r="B141" s="160" t="str">
        <f t="shared" si="31"/>
        <v/>
      </c>
      <c r="C141" s="472">
        <f>IF(D93="","-",+C140+1)</f>
        <v>2049</v>
      </c>
      <c r="D141" s="347">
        <f>IF(F140+SUM(E$99:E140)=D$92,F140,D$92-SUM(E$99:E140))</f>
        <v>1200</v>
      </c>
      <c r="E141" s="486">
        <f>IF(+J96&lt;F140,J96,D141)</f>
        <v>1200</v>
      </c>
      <c r="F141" s="485">
        <f t="shared" si="47"/>
        <v>0</v>
      </c>
      <c r="G141" s="485">
        <f t="shared" si="48"/>
        <v>600</v>
      </c>
      <c r="H141" s="486">
        <f t="shared" si="49"/>
        <v>1266.1095917253899</v>
      </c>
      <c r="I141" s="542">
        <f t="shared" si="50"/>
        <v>1266.1095917253899</v>
      </c>
      <c r="J141" s="478">
        <f t="shared" si="51"/>
        <v>0</v>
      </c>
      <c r="K141" s="478"/>
      <c r="L141" s="487"/>
      <c r="M141" s="478">
        <f t="shared" si="52"/>
        <v>0</v>
      </c>
      <c r="N141" s="487"/>
      <c r="O141" s="478">
        <f t="shared" si="53"/>
        <v>0</v>
      </c>
      <c r="P141" s="478">
        <f t="shared" si="54"/>
        <v>0</v>
      </c>
    </row>
    <row r="142" spans="2:16">
      <c r="B142" s="160" t="str">
        <f t="shared" si="31"/>
        <v/>
      </c>
      <c r="C142" s="472">
        <f>IF(D93="","-",+C141+1)</f>
        <v>2050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47"/>
        <v>0</v>
      </c>
      <c r="G142" s="485">
        <f t="shared" si="48"/>
        <v>0</v>
      </c>
      <c r="H142" s="486">
        <f t="shared" si="49"/>
        <v>0</v>
      </c>
      <c r="I142" s="542">
        <f t="shared" si="50"/>
        <v>0</v>
      </c>
      <c r="J142" s="478">
        <f t="shared" si="51"/>
        <v>0</v>
      </c>
      <c r="K142" s="478"/>
      <c r="L142" s="487"/>
      <c r="M142" s="478">
        <f t="shared" si="52"/>
        <v>0</v>
      </c>
      <c r="N142" s="487"/>
      <c r="O142" s="478">
        <f t="shared" si="53"/>
        <v>0</v>
      </c>
      <c r="P142" s="478">
        <f t="shared" si="54"/>
        <v>0</v>
      </c>
    </row>
    <row r="143" spans="2:16">
      <c r="B143" s="160" t="str">
        <f t="shared" si="31"/>
        <v/>
      </c>
      <c r="C143" s="472">
        <f>IF(D93="","-",+C142+1)</f>
        <v>2051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7"/>
        <v>0</v>
      </c>
      <c r="G143" s="485">
        <f t="shared" si="48"/>
        <v>0</v>
      </c>
      <c r="H143" s="486">
        <f t="shared" si="49"/>
        <v>0</v>
      </c>
      <c r="I143" s="542">
        <f t="shared" si="50"/>
        <v>0</v>
      </c>
      <c r="J143" s="478">
        <f t="shared" si="51"/>
        <v>0</v>
      </c>
      <c r="K143" s="478"/>
      <c r="L143" s="487"/>
      <c r="M143" s="478">
        <f t="shared" si="52"/>
        <v>0</v>
      </c>
      <c r="N143" s="487"/>
      <c r="O143" s="478">
        <f t="shared" si="53"/>
        <v>0</v>
      </c>
      <c r="P143" s="478">
        <f t="shared" si="54"/>
        <v>0</v>
      </c>
    </row>
    <row r="144" spans="2:16">
      <c r="B144" s="160" t="str">
        <f t="shared" si="31"/>
        <v/>
      </c>
      <c r="C144" s="472">
        <f>IF(D93="","-",+C143+1)</f>
        <v>2052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7"/>
        <v>0</v>
      </c>
      <c r="G144" s="485">
        <f t="shared" si="48"/>
        <v>0</v>
      </c>
      <c r="H144" s="486">
        <f t="shared" si="49"/>
        <v>0</v>
      </c>
      <c r="I144" s="542">
        <f t="shared" si="50"/>
        <v>0</v>
      </c>
      <c r="J144" s="478">
        <f t="shared" si="51"/>
        <v>0</v>
      </c>
      <c r="K144" s="478"/>
      <c r="L144" s="487"/>
      <c r="M144" s="478">
        <f t="shared" si="52"/>
        <v>0</v>
      </c>
      <c r="N144" s="487"/>
      <c r="O144" s="478">
        <f t="shared" si="53"/>
        <v>0</v>
      </c>
      <c r="P144" s="478">
        <f t="shared" si="54"/>
        <v>0</v>
      </c>
    </row>
    <row r="145" spans="2:16">
      <c r="B145" s="160" t="str">
        <f t="shared" si="31"/>
        <v/>
      </c>
      <c r="C145" s="472">
        <f>IF(D93="","-",+C144+1)</f>
        <v>2053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7"/>
        <v>0</v>
      </c>
      <c r="G145" s="485">
        <f t="shared" si="48"/>
        <v>0</v>
      </c>
      <c r="H145" s="486">
        <f t="shared" si="49"/>
        <v>0</v>
      </c>
      <c r="I145" s="542">
        <f t="shared" si="50"/>
        <v>0</v>
      </c>
      <c r="J145" s="478">
        <f t="shared" si="51"/>
        <v>0</v>
      </c>
      <c r="K145" s="478"/>
      <c r="L145" s="487"/>
      <c r="M145" s="478">
        <f t="shared" si="52"/>
        <v>0</v>
      </c>
      <c r="N145" s="487"/>
      <c r="O145" s="478">
        <f t="shared" si="53"/>
        <v>0</v>
      </c>
      <c r="P145" s="478">
        <f t="shared" si="54"/>
        <v>0</v>
      </c>
    </row>
    <row r="146" spans="2:16">
      <c r="B146" s="160" t="str">
        <f t="shared" si="31"/>
        <v/>
      </c>
      <c r="C146" s="472">
        <f>IF(D93="","-",+C145+1)</f>
        <v>2054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7"/>
        <v>0</v>
      </c>
      <c r="G146" s="485">
        <f t="shared" si="48"/>
        <v>0</v>
      </c>
      <c r="H146" s="486">
        <f t="shared" si="49"/>
        <v>0</v>
      </c>
      <c r="I146" s="542">
        <f t="shared" si="50"/>
        <v>0</v>
      </c>
      <c r="J146" s="478">
        <f t="shared" si="51"/>
        <v>0</v>
      </c>
      <c r="K146" s="478"/>
      <c r="L146" s="487"/>
      <c r="M146" s="478">
        <f t="shared" si="52"/>
        <v>0</v>
      </c>
      <c r="N146" s="487"/>
      <c r="O146" s="478">
        <f t="shared" si="53"/>
        <v>0</v>
      </c>
      <c r="P146" s="478">
        <f t="shared" si="54"/>
        <v>0</v>
      </c>
    </row>
    <row r="147" spans="2:16">
      <c r="B147" s="160" t="str">
        <f t="shared" si="31"/>
        <v/>
      </c>
      <c r="C147" s="472">
        <f>IF(D93="","-",+C146+1)</f>
        <v>2055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7"/>
        <v>0</v>
      </c>
      <c r="G147" s="485">
        <f t="shared" si="48"/>
        <v>0</v>
      </c>
      <c r="H147" s="486">
        <f t="shared" si="49"/>
        <v>0</v>
      </c>
      <c r="I147" s="542">
        <f t="shared" si="50"/>
        <v>0</v>
      </c>
      <c r="J147" s="478">
        <f t="shared" si="51"/>
        <v>0</v>
      </c>
      <c r="K147" s="478"/>
      <c r="L147" s="487"/>
      <c r="M147" s="478">
        <f t="shared" si="52"/>
        <v>0</v>
      </c>
      <c r="N147" s="487"/>
      <c r="O147" s="478">
        <f t="shared" si="53"/>
        <v>0</v>
      </c>
      <c r="P147" s="478">
        <f t="shared" si="54"/>
        <v>0</v>
      </c>
    </row>
    <row r="148" spans="2:16">
      <c r="B148" s="160" t="str">
        <f t="shared" si="31"/>
        <v/>
      </c>
      <c r="C148" s="472">
        <f>IF(D93="","-",+C147+1)</f>
        <v>2056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7"/>
        <v>0</v>
      </c>
      <c r="G148" s="485">
        <f t="shared" si="48"/>
        <v>0</v>
      </c>
      <c r="H148" s="486">
        <f t="shared" si="49"/>
        <v>0</v>
      </c>
      <c r="I148" s="542">
        <f t="shared" si="50"/>
        <v>0</v>
      </c>
      <c r="J148" s="478">
        <f t="shared" si="51"/>
        <v>0</v>
      </c>
      <c r="K148" s="478"/>
      <c r="L148" s="487"/>
      <c r="M148" s="478">
        <f t="shared" si="52"/>
        <v>0</v>
      </c>
      <c r="N148" s="487"/>
      <c r="O148" s="478">
        <f t="shared" si="53"/>
        <v>0</v>
      </c>
      <c r="P148" s="478">
        <f t="shared" si="54"/>
        <v>0</v>
      </c>
    </row>
    <row r="149" spans="2:16">
      <c r="B149" s="160" t="str">
        <f t="shared" si="31"/>
        <v/>
      </c>
      <c r="C149" s="472">
        <f>IF(D93="","-",+C148+1)</f>
        <v>2057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7"/>
        <v>0</v>
      </c>
      <c r="G149" s="485">
        <f t="shared" si="48"/>
        <v>0</v>
      </c>
      <c r="H149" s="486">
        <f t="shared" si="49"/>
        <v>0</v>
      </c>
      <c r="I149" s="542">
        <f t="shared" si="50"/>
        <v>0</v>
      </c>
      <c r="J149" s="478">
        <f t="shared" si="51"/>
        <v>0</v>
      </c>
      <c r="K149" s="478"/>
      <c r="L149" s="487"/>
      <c r="M149" s="478">
        <f t="shared" si="52"/>
        <v>0</v>
      </c>
      <c r="N149" s="487"/>
      <c r="O149" s="478">
        <f t="shared" si="53"/>
        <v>0</v>
      </c>
      <c r="P149" s="478">
        <f t="shared" si="54"/>
        <v>0</v>
      </c>
    </row>
    <row r="150" spans="2:16">
      <c r="B150" s="160" t="str">
        <f t="shared" si="31"/>
        <v/>
      </c>
      <c r="C150" s="472">
        <f>IF(D93="","-",+C149+1)</f>
        <v>2058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7"/>
        <v>0</v>
      </c>
      <c r="G150" s="485">
        <f t="shared" si="48"/>
        <v>0</v>
      </c>
      <c r="H150" s="486">
        <f t="shared" si="49"/>
        <v>0</v>
      </c>
      <c r="I150" s="542">
        <f t="shared" si="50"/>
        <v>0</v>
      </c>
      <c r="J150" s="478">
        <f t="shared" si="51"/>
        <v>0</v>
      </c>
      <c r="K150" s="478"/>
      <c r="L150" s="487"/>
      <c r="M150" s="478">
        <f t="shared" si="52"/>
        <v>0</v>
      </c>
      <c r="N150" s="487"/>
      <c r="O150" s="478">
        <f t="shared" si="53"/>
        <v>0</v>
      </c>
      <c r="P150" s="478">
        <f t="shared" si="54"/>
        <v>0</v>
      </c>
    </row>
    <row r="151" spans="2:16">
      <c r="B151" s="160" t="str">
        <f t="shared" si="31"/>
        <v/>
      </c>
      <c r="C151" s="472">
        <f>IF(D93="","-",+C150+1)</f>
        <v>2059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7"/>
        <v>0</v>
      </c>
      <c r="G151" s="485">
        <f t="shared" si="48"/>
        <v>0</v>
      </c>
      <c r="H151" s="486">
        <f t="shared" si="49"/>
        <v>0</v>
      </c>
      <c r="I151" s="542">
        <f t="shared" si="50"/>
        <v>0</v>
      </c>
      <c r="J151" s="478">
        <f t="shared" si="51"/>
        <v>0</v>
      </c>
      <c r="K151" s="478"/>
      <c r="L151" s="487"/>
      <c r="M151" s="478">
        <f t="shared" si="52"/>
        <v>0</v>
      </c>
      <c r="N151" s="487"/>
      <c r="O151" s="478">
        <f t="shared" si="53"/>
        <v>0</v>
      </c>
      <c r="P151" s="478">
        <f t="shared" si="54"/>
        <v>0</v>
      </c>
    </row>
    <row r="152" spans="2:16">
      <c r="B152" s="160" t="str">
        <f t="shared" si="31"/>
        <v/>
      </c>
      <c r="C152" s="472">
        <f>IF(D93="","-",+C151+1)</f>
        <v>2060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7"/>
        <v>0</v>
      </c>
      <c r="G152" s="485">
        <f t="shared" si="48"/>
        <v>0</v>
      </c>
      <c r="H152" s="486">
        <f t="shared" si="49"/>
        <v>0</v>
      </c>
      <c r="I152" s="542">
        <f t="shared" si="50"/>
        <v>0</v>
      </c>
      <c r="J152" s="478">
        <f t="shared" si="51"/>
        <v>0</v>
      </c>
      <c r="K152" s="478"/>
      <c r="L152" s="487"/>
      <c r="M152" s="478">
        <f t="shared" si="52"/>
        <v>0</v>
      </c>
      <c r="N152" s="487"/>
      <c r="O152" s="478">
        <f t="shared" si="53"/>
        <v>0</v>
      </c>
      <c r="P152" s="478">
        <f t="shared" si="54"/>
        <v>0</v>
      </c>
    </row>
    <row r="153" spans="2:16">
      <c r="B153" s="160" t="str">
        <f t="shared" si="31"/>
        <v/>
      </c>
      <c r="C153" s="472">
        <f>IF(D93="","-",+C152+1)</f>
        <v>2061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7"/>
        <v>0</v>
      </c>
      <c r="G153" s="485">
        <f t="shared" si="48"/>
        <v>0</v>
      </c>
      <c r="H153" s="486">
        <f t="shared" si="49"/>
        <v>0</v>
      </c>
      <c r="I153" s="542">
        <f t="shared" si="50"/>
        <v>0</v>
      </c>
      <c r="J153" s="478">
        <f t="shared" si="51"/>
        <v>0</v>
      </c>
      <c r="K153" s="478"/>
      <c r="L153" s="487"/>
      <c r="M153" s="478">
        <f t="shared" si="52"/>
        <v>0</v>
      </c>
      <c r="N153" s="487"/>
      <c r="O153" s="478">
        <f t="shared" si="53"/>
        <v>0</v>
      </c>
      <c r="P153" s="478">
        <f t="shared" si="54"/>
        <v>0</v>
      </c>
    </row>
    <row r="154" spans="2:16" ht="13.5" thickBot="1">
      <c r="B154" s="160" t="str">
        <f t="shared" si="31"/>
        <v/>
      </c>
      <c r="C154" s="489">
        <f>IF(D93="","-",+C153+1)</f>
        <v>2062</v>
      </c>
      <c r="D154" s="490">
        <f>IF(F153+SUM(E$99:E153)=D$92,F153,D$92-SUM(E$99:E153))</f>
        <v>0</v>
      </c>
      <c r="E154" s="544">
        <f>IF(+J96&lt;F153,J96,D154)</f>
        <v>0</v>
      </c>
      <c r="F154" s="490">
        <f t="shared" si="47"/>
        <v>0</v>
      </c>
      <c r="G154" s="490">
        <f t="shared" si="48"/>
        <v>0</v>
      </c>
      <c r="H154" s="492">
        <f t="shared" ref="H154" si="55">+J$94*G154+E154</f>
        <v>0</v>
      </c>
      <c r="I154" s="545">
        <f t="shared" ref="I154" si="56">+J$95*G154+E154</f>
        <v>0</v>
      </c>
      <c r="J154" s="495">
        <f t="shared" si="51"/>
        <v>0</v>
      </c>
      <c r="K154" s="478"/>
      <c r="L154" s="494"/>
      <c r="M154" s="495">
        <f t="shared" si="52"/>
        <v>0</v>
      </c>
      <c r="N154" s="494"/>
      <c r="O154" s="495">
        <f t="shared" si="53"/>
        <v>0</v>
      </c>
      <c r="P154" s="495">
        <f t="shared" si="54"/>
        <v>0</v>
      </c>
    </row>
    <row r="155" spans="2:16">
      <c r="C155" s="347" t="s">
        <v>77</v>
      </c>
      <c r="D155" s="348"/>
      <c r="E155" s="348">
        <f>SUM(E99:E154)</f>
        <v>72551</v>
      </c>
      <c r="F155" s="348"/>
      <c r="G155" s="348"/>
      <c r="H155" s="348">
        <f>SUM(H99:H154)</f>
        <v>274464.20213004557</v>
      </c>
      <c r="I155" s="348">
        <f>SUM(I99:I154)</f>
        <v>274464.20213004557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0">
    <tabColor rgb="FFC00000"/>
  </sheetPr>
  <dimension ref="A1:P162"/>
  <sheetViews>
    <sheetView view="pageBreakPreview" zoomScale="75" zoomScaleNormal="100" workbookViewId="0">
      <selection activeCell="D111" sqref="D11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10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9919.1904761904771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9919.1904761904771</v>
      </c>
      <c r="O6" s="233"/>
      <c r="P6" s="233"/>
    </row>
    <row r="7" spans="1:16" ht="13.5" thickBot="1">
      <c r="C7" s="431" t="s">
        <v>46</v>
      </c>
      <c r="D7" s="564" t="s">
        <v>255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221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96566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2299.1904761904761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2010</v>
      </c>
      <c r="D17" s="473">
        <v>135400</v>
      </c>
      <c r="E17" s="474">
        <v>1209</v>
      </c>
      <c r="F17" s="473">
        <v>134191</v>
      </c>
      <c r="G17" s="474">
        <v>20572</v>
      </c>
      <c r="H17" s="481">
        <v>20572</v>
      </c>
      <c r="I17" s="475">
        <f t="shared" ref="I17:I48" si="0">H17-G17</f>
        <v>0</v>
      </c>
      <c r="J17" s="475"/>
      <c r="K17" s="554">
        <f t="shared" ref="K17:K22" si="1">G17</f>
        <v>20572</v>
      </c>
      <c r="L17" s="477">
        <f t="shared" ref="L17:L48" si="2">IF(K17&lt;&gt;0,+G17-K17,0)</f>
        <v>0</v>
      </c>
      <c r="M17" s="554">
        <f t="shared" ref="M17:M22" si="3">H17</f>
        <v>20572</v>
      </c>
      <c r="N17" s="477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2011</v>
      </c>
      <c r="D18" s="479">
        <v>95357</v>
      </c>
      <c r="E18" s="480">
        <v>1893.4509803921569</v>
      </c>
      <c r="F18" s="479">
        <v>93463.549019607846</v>
      </c>
      <c r="G18" s="480">
        <v>16524.450980392157</v>
      </c>
      <c r="H18" s="481">
        <v>16524.450980392157</v>
      </c>
      <c r="I18" s="475">
        <f t="shared" si="0"/>
        <v>0</v>
      </c>
      <c r="J18" s="475"/>
      <c r="K18" s="476">
        <f t="shared" si="1"/>
        <v>16524.450980392157</v>
      </c>
      <c r="L18" s="550">
        <f t="shared" si="2"/>
        <v>0</v>
      </c>
      <c r="M18" s="476">
        <f t="shared" si="3"/>
        <v>16524.450980392157</v>
      </c>
      <c r="N18" s="478">
        <f t="shared" si="4"/>
        <v>0</v>
      </c>
      <c r="O18" s="478">
        <f t="shared" si="5"/>
        <v>0</v>
      </c>
      <c r="P18" s="243"/>
    </row>
    <row r="19" spans="2:16">
      <c r="B19" s="160" t="str">
        <f>IF(D19=F18,"","IU")</f>
        <v/>
      </c>
      <c r="C19" s="472">
        <f>IF(D11="","-",+C18+1)</f>
        <v>2012</v>
      </c>
      <c r="D19" s="479">
        <v>93463.549019607846</v>
      </c>
      <c r="E19" s="480">
        <v>1857.0384615384614</v>
      </c>
      <c r="F19" s="479">
        <v>91606.510558069378</v>
      </c>
      <c r="G19" s="480">
        <v>14609.038461538461</v>
      </c>
      <c r="H19" s="481">
        <v>14609.038461538461</v>
      </c>
      <c r="I19" s="475">
        <f t="shared" si="0"/>
        <v>0</v>
      </c>
      <c r="J19" s="475"/>
      <c r="K19" s="476">
        <f t="shared" si="1"/>
        <v>14609.038461538461</v>
      </c>
      <c r="L19" s="550">
        <f t="shared" si="2"/>
        <v>0</v>
      </c>
      <c r="M19" s="476">
        <f t="shared" si="3"/>
        <v>14609.038461538461</v>
      </c>
      <c r="N19" s="478">
        <f t="shared" si="4"/>
        <v>0</v>
      </c>
      <c r="O19" s="478">
        <f t="shared" si="5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2013</v>
      </c>
      <c r="D20" s="479">
        <v>91606.510558069378</v>
      </c>
      <c r="E20" s="480">
        <v>1857.0384615384614</v>
      </c>
      <c r="F20" s="479">
        <v>89749.47209653091</v>
      </c>
      <c r="G20" s="480">
        <v>14674.038461538461</v>
      </c>
      <c r="H20" s="481">
        <v>14674.038461538461</v>
      </c>
      <c r="I20" s="475">
        <v>0</v>
      </c>
      <c r="J20" s="475"/>
      <c r="K20" s="476">
        <f t="shared" si="1"/>
        <v>14674.038461538461</v>
      </c>
      <c r="L20" s="550">
        <f t="shared" ref="L20:L25" si="7">IF(K20&lt;&gt;0,+G20-K20,0)</f>
        <v>0</v>
      </c>
      <c r="M20" s="476">
        <f t="shared" si="3"/>
        <v>14674.038461538461</v>
      </c>
      <c r="N20" s="478">
        <f t="shared" ref="N20:N25" si="8">IF(M20&lt;&gt;0,+H20-M20,0)</f>
        <v>0</v>
      </c>
      <c r="O20" s="478">
        <f t="shared" ref="O20:O25" si="9">+N20-L20</f>
        <v>0</v>
      </c>
      <c r="P20" s="243"/>
    </row>
    <row r="21" spans="2:16">
      <c r="B21" s="160" t="str">
        <f t="shared" si="6"/>
        <v/>
      </c>
      <c r="C21" s="472">
        <f>IF(D11="","-",+C20+1)</f>
        <v>2014</v>
      </c>
      <c r="D21" s="479">
        <v>89749.47209653091</v>
      </c>
      <c r="E21" s="480">
        <v>1857.0384615384614</v>
      </c>
      <c r="F21" s="479">
        <v>87892.433634992442</v>
      </c>
      <c r="G21" s="480">
        <v>13956.038461538461</v>
      </c>
      <c r="H21" s="481">
        <v>13956.038461538461</v>
      </c>
      <c r="I21" s="475">
        <v>0</v>
      </c>
      <c r="J21" s="475"/>
      <c r="K21" s="476">
        <f t="shared" si="1"/>
        <v>13956.038461538461</v>
      </c>
      <c r="L21" s="550">
        <f t="shared" si="7"/>
        <v>0</v>
      </c>
      <c r="M21" s="476">
        <f t="shared" si="3"/>
        <v>13956.038461538461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2015</v>
      </c>
      <c r="D22" s="479">
        <v>87892.433634992442</v>
      </c>
      <c r="E22" s="480">
        <v>1857.0384615384614</v>
      </c>
      <c r="F22" s="479">
        <v>86035.395173453973</v>
      </c>
      <c r="G22" s="480">
        <v>13719.038461538461</v>
      </c>
      <c r="H22" s="481">
        <v>13719.038461538461</v>
      </c>
      <c r="I22" s="475">
        <v>0</v>
      </c>
      <c r="J22" s="475"/>
      <c r="K22" s="476">
        <f t="shared" si="1"/>
        <v>13719.038461538461</v>
      </c>
      <c r="L22" s="550">
        <f t="shared" si="7"/>
        <v>0</v>
      </c>
      <c r="M22" s="476">
        <f t="shared" si="3"/>
        <v>13719.038461538461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2016</v>
      </c>
      <c r="D23" s="479">
        <v>86035.395173453973</v>
      </c>
      <c r="E23" s="480">
        <v>1857.0384615384614</v>
      </c>
      <c r="F23" s="479">
        <v>84178.356711915505</v>
      </c>
      <c r="G23" s="480">
        <v>12898.038461538461</v>
      </c>
      <c r="H23" s="481">
        <v>12898.038461538461</v>
      </c>
      <c r="I23" s="475">
        <f t="shared" si="0"/>
        <v>0</v>
      </c>
      <c r="J23" s="475"/>
      <c r="K23" s="476">
        <f t="shared" ref="K23:K28" si="10">G23</f>
        <v>12898.038461538461</v>
      </c>
      <c r="L23" s="550">
        <f t="shared" si="7"/>
        <v>0</v>
      </c>
      <c r="M23" s="476">
        <f t="shared" ref="M23:M28" si="11">H23</f>
        <v>12898.038461538461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2017</v>
      </c>
      <c r="D24" s="479">
        <v>84178.356711915505</v>
      </c>
      <c r="E24" s="480">
        <v>2099.2608695652175</v>
      </c>
      <c r="F24" s="479">
        <v>82079.095842350289</v>
      </c>
      <c r="G24" s="480">
        <v>12544.260869565218</v>
      </c>
      <c r="H24" s="481">
        <v>12544.260869565218</v>
      </c>
      <c r="I24" s="475">
        <f t="shared" si="0"/>
        <v>0</v>
      </c>
      <c r="J24" s="475"/>
      <c r="K24" s="476">
        <f t="shared" si="10"/>
        <v>12544.260869565218</v>
      </c>
      <c r="L24" s="550">
        <f t="shared" si="7"/>
        <v>0</v>
      </c>
      <c r="M24" s="476">
        <f t="shared" si="11"/>
        <v>12544.260869565218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2018</v>
      </c>
      <c r="D25" s="479">
        <v>82079.095842350289</v>
      </c>
      <c r="E25" s="480">
        <v>2145.911111111111</v>
      </c>
      <c r="F25" s="479">
        <v>79933.184731239176</v>
      </c>
      <c r="G25" s="480">
        <v>11847.120662682713</v>
      </c>
      <c r="H25" s="481">
        <v>11847.120662682713</v>
      </c>
      <c r="I25" s="475">
        <f t="shared" si="0"/>
        <v>0</v>
      </c>
      <c r="J25" s="475"/>
      <c r="K25" s="476">
        <f t="shared" si="10"/>
        <v>11847.120662682713</v>
      </c>
      <c r="L25" s="550">
        <f t="shared" si="7"/>
        <v>0</v>
      </c>
      <c r="M25" s="476">
        <f t="shared" si="11"/>
        <v>11847.120662682713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2019</v>
      </c>
      <c r="D26" s="479">
        <v>79933.184731239176</v>
      </c>
      <c r="E26" s="480">
        <v>2414.15</v>
      </c>
      <c r="F26" s="479">
        <v>77519.034731239182</v>
      </c>
      <c r="G26" s="480">
        <v>11204.44220775155</v>
      </c>
      <c r="H26" s="481">
        <v>11204.44220775155</v>
      </c>
      <c r="I26" s="475">
        <f t="shared" si="0"/>
        <v>0</v>
      </c>
      <c r="J26" s="475"/>
      <c r="K26" s="476">
        <f t="shared" si="10"/>
        <v>11204.44220775155</v>
      </c>
      <c r="L26" s="550">
        <f t="shared" ref="L26" si="12">IF(K26&lt;&gt;0,+G26-K26,0)</f>
        <v>0</v>
      </c>
      <c r="M26" s="476">
        <f t="shared" si="11"/>
        <v>11204.44220775155</v>
      </c>
      <c r="N26" s="478">
        <f t="shared" ref="N26" si="13">IF(M26&lt;&gt;0,+H26-M26,0)</f>
        <v>0</v>
      </c>
      <c r="O26" s="478">
        <f t="shared" ref="O26" si="14">+N26-L26</f>
        <v>0</v>
      </c>
      <c r="P26" s="243"/>
    </row>
    <row r="27" spans="2:16">
      <c r="B27" s="566" t="str">
        <f t="shared" si="6"/>
        <v>IU</v>
      </c>
      <c r="C27" s="472">
        <f>IF(D11="","-",+C26+1)</f>
        <v>2020</v>
      </c>
      <c r="D27" s="479">
        <v>77787.273620128064</v>
      </c>
      <c r="E27" s="480">
        <v>2299.1904761904761</v>
      </c>
      <c r="F27" s="479">
        <v>75488.083143937591</v>
      </c>
      <c r="G27" s="480">
        <v>10576.425832738674</v>
      </c>
      <c r="H27" s="481">
        <v>10576.425832738674</v>
      </c>
      <c r="I27" s="475">
        <f t="shared" si="0"/>
        <v>0</v>
      </c>
      <c r="J27" s="475"/>
      <c r="K27" s="476">
        <f t="shared" si="10"/>
        <v>10576.425832738674</v>
      </c>
      <c r="L27" s="550">
        <f t="shared" ref="L27" si="15">IF(K27&lt;&gt;0,+G27-K27,0)</f>
        <v>0</v>
      </c>
      <c r="M27" s="476">
        <f t="shared" si="11"/>
        <v>10576.425832738674</v>
      </c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>IU</v>
      </c>
      <c r="C28" s="472">
        <f>IF(D11="","-",+C27+1)</f>
        <v>2021</v>
      </c>
      <c r="D28" s="479">
        <v>75219.844255048723</v>
      </c>
      <c r="E28" s="480">
        <v>2245.7209302325582</v>
      </c>
      <c r="F28" s="479">
        <v>72974.123324816159</v>
      </c>
      <c r="G28" s="480">
        <v>10113.720930232557</v>
      </c>
      <c r="H28" s="481">
        <v>10113.720930232557</v>
      </c>
      <c r="I28" s="475">
        <f t="shared" si="0"/>
        <v>0</v>
      </c>
      <c r="J28" s="475"/>
      <c r="K28" s="476">
        <f t="shared" si="10"/>
        <v>10113.720930232557</v>
      </c>
      <c r="L28" s="550">
        <f t="shared" ref="L28" si="16">IF(K28&lt;&gt;0,+G28-K28,0)</f>
        <v>0</v>
      </c>
      <c r="M28" s="476">
        <f t="shared" si="11"/>
        <v>10113.720930232557</v>
      </c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/>
      </c>
      <c r="C29" s="472">
        <f>IF(D11="","-",+C28+1)</f>
        <v>2022</v>
      </c>
      <c r="D29" s="479">
        <v>72974.123324816159</v>
      </c>
      <c r="E29" s="480">
        <v>2299.1904761904761</v>
      </c>
      <c r="F29" s="479">
        <v>70674.932848625685</v>
      </c>
      <c r="G29" s="480">
        <v>9919.1904761904771</v>
      </c>
      <c r="H29" s="481">
        <v>9919.1904761904771</v>
      </c>
      <c r="I29" s="475">
        <f t="shared" si="0"/>
        <v>0</v>
      </c>
      <c r="J29" s="475"/>
      <c r="K29" s="476">
        <f t="shared" ref="K29" si="17">G29</f>
        <v>9919.1904761904771</v>
      </c>
      <c r="L29" s="550">
        <f t="shared" ref="L29" si="18">IF(K29&lt;&gt;0,+G29-K29,0)</f>
        <v>0</v>
      </c>
      <c r="M29" s="476">
        <f t="shared" ref="M29" si="19">H29</f>
        <v>9919.1904761904771</v>
      </c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70674.932848625685</v>
      </c>
      <c r="E30" s="484">
        <f>IF(+I14&lt;F29,I14,D30)</f>
        <v>2299.1904761904761</v>
      </c>
      <c r="F30" s="485">
        <f t="shared" ref="F30:F48" si="20">+D30-E30</f>
        <v>68375.742372435212</v>
      </c>
      <c r="G30" s="486">
        <f t="shared" ref="G30:G72" si="21">(D30+F30)/2*I$12+E30</f>
        <v>9794.8037391515445</v>
      </c>
      <c r="H30" s="455">
        <f t="shared" ref="H30:H72" si="22">+(D30+F30)/2*I$13+E30</f>
        <v>9794.8037391515445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68375.742372435212</v>
      </c>
      <c r="E31" s="484">
        <f>IF(+I14&lt;F30,I14,D31)</f>
        <v>2299.1904761904761</v>
      </c>
      <c r="F31" s="485">
        <f t="shared" si="20"/>
        <v>66076.551896244739</v>
      </c>
      <c r="G31" s="486">
        <f t="shared" si="21"/>
        <v>9546.9251495652807</v>
      </c>
      <c r="H31" s="455">
        <f t="shared" si="22"/>
        <v>9546.9251495652807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66076.551896244739</v>
      </c>
      <c r="E32" s="484">
        <f>IF(+I14&lt;F31,I14,D32)</f>
        <v>2299.1904761904761</v>
      </c>
      <c r="F32" s="485">
        <f t="shared" si="20"/>
        <v>63777.361420054265</v>
      </c>
      <c r="G32" s="486">
        <f t="shared" si="21"/>
        <v>9299.0465599790186</v>
      </c>
      <c r="H32" s="455">
        <f t="shared" si="22"/>
        <v>9299.0465599790186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63777.361420054265</v>
      </c>
      <c r="E33" s="484">
        <f>IF(+I14&lt;F32,I14,D33)</f>
        <v>2299.1904761904761</v>
      </c>
      <c r="F33" s="485">
        <f t="shared" si="20"/>
        <v>61478.170943863792</v>
      </c>
      <c r="G33" s="486">
        <f t="shared" si="21"/>
        <v>9051.1679703927548</v>
      </c>
      <c r="H33" s="455">
        <f t="shared" si="22"/>
        <v>9051.1679703927548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61478.170943863792</v>
      </c>
      <c r="E34" s="484">
        <f>IF(+I14&lt;F33,I14,D34)</f>
        <v>2299.1904761904761</v>
      </c>
      <c r="F34" s="485">
        <f t="shared" si="20"/>
        <v>59178.980467673318</v>
      </c>
      <c r="G34" s="486">
        <f t="shared" si="21"/>
        <v>8803.289380806491</v>
      </c>
      <c r="H34" s="455">
        <f t="shared" si="22"/>
        <v>8803.289380806491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59178.980467673318</v>
      </c>
      <c r="E35" s="484">
        <f>IF(+I14&lt;F34,I14,D35)</f>
        <v>2299.1904761904761</v>
      </c>
      <c r="F35" s="485">
        <f t="shared" si="20"/>
        <v>56879.789991482845</v>
      </c>
      <c r="G35" s="486">
        <f t="shared" si="21"/>
        <v>8555.4107912202271</v>
      </c>
      <c r="H35" s="455">
        <f t="shared" si="22"/>
        <v>8555.4107912202271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56879.789991482845</v>
      </c>
      <c r="E36" s="484">
        <f>IF(+I14&lt;F35,I14,D36)</f>
        <v>2299.1904761904761</v>
      </c>
      <c r="F36" s="485">
        <f t="shared" si="20"/>
        <v>54580.599515292372</v>
      </c>
      <c r="G36" s="486">
        <f t="shared" si="21"/>
        <v>8307.5322016339633</v>
      </c>
      <c r="H36" s="455">
        <f t="shared" si="22"/>
        <v>8307.5322016339633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54580.599515292372</v>
      </c>
      <c r="E37" s="484">
        <f>IF(+I14&lt;F36,I14,D37)</f>
        <v>2299.1904761904761</v>
      </c>
      <c r="F37" s="485">
        <f t="shared" si="20"/>
        <v>52281.409039101898</v>
      </c>
      <c r="G37" s="486">
        <f t="shared" si="21"/>
        <v>8059.6536120476994</v>
      </c>
      <c r="H37" s="455">
        <f t="shared" si="22"/>
        <v>8059.6536120476994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52281.409039101898</v>
      </c>
      <c r="E38" s="484">
        <f>IF(+I14&lt;F37,I14,D38)</f>
        <v>2299.1904761904761</v>
      </c>
      <c r="F38" s="485">
        <f t="shared" si="20"/>
        <v>49982.218562911425</v>
      </c>
      <c r="G38" s="486">
        <f t="shared" si="21"/>
        <v>7811.7750224614365</v>
      </c>
      <c r="H38" s="455">
        <f t="shared" si="22"/>
        <v>7811.7750224614365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49982.218562911425</v>
      </c>
      <c r="E39" s="484">
        <f>IF(+I14&lt;F38,I14,D39)</f>
        <v>2299.1904761904761</v>
      </c>
      <c r="F39" s="485">
        <f t="shared" si="20"/>
        <v>47683.028086720951</v>
      </c>
      <c r="G39" s="486">
        <f t="shared" si="21"/>
        <v>7563.8964328751726</v>
      </c>
      <c r="H39" s="455">
        <f t="shared" si="22"/>
        <v>7563.8964328751726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47683.028086720951</v>
      </c>
      <c r="E40" s="484">
        <f>IF(+I14&lt;F39,I14,D40)</f>
        <v>2299.1904761904761</v>
      </c>
      <c r="F40" s="485">
        <f t="shared" si="20"/>
        <v>45383.837610530478</v>
      </c>
      <c r="G40" s="486">
        <f t="shared" si="21"/>
        <v>7316.0178432889097</v>
      </c>
      <c r="H40" s="455">
        <f t="shared" si="22"/>
        <v>7316.0178432889097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45383.837610530478</v>
      </c>
      <c r="E41" s="484">
        <f>IF(+I14&lt;F40,I14,D41)</f>
        <v>2299.1904761904761</v>
      </c>
      <c r="F41" s="485">
        <f t="shared" si="20"/>
        <v>43084.647134340004</v>
      </c>
      <c r="G41" s="486">
        <f t="shared" si="21"/>
        <v>7068.1392537026459</v>
      </c>
      <c r="H41" s="455">
        <f t="shared" si="22"/>
        <v>7068.1392537026459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43084.647134340004</v>
      </c>
      <c r="E42" s="484">
        <f>IF(+I14&lt;F41,I14,D42)</f>
        <v>2299.1904761904761</v>
      </c>
      <c r="F42" s="485">
        <f t="shared" si="20"/>
        <v>40785.456658149531</v>
      </c>
      <c r="G42" s="486">
        <f t="shared" si="21"/>
        <v>6820.260664116382</v>
      </c>
      <c r="H42" s="455">
        <f t="shared" si="22"/>
        <v>6820.260664116382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40785.456658149531</v>
      </c>
      <c r="E43" s="484">
        <f>IF(+I14&lt;F42,I14,D43)</f>
        <v>2299.1904761904761</v>
      </c>
      <c r="F43" s="485">
        <f t="shared" si="20"/>
        <v>38486.266181959058</v>
      </c>
      <c r="G43" s="486">
        <f t="shared" si="21"/>
        <v>6572.3820745301191</v>
      </c>
      <c r="H43" s="455">
        <f t="shared" si="22"/>
        <v>6572.3820745301191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38486.266181959058</v>
      </c>
      <c r="E44" s="484">
        <f>IF(+I14&lt;F43,I14,D44)</f>
        <v>2299.1904761904761</v>
      </c>
      <c r="F44" s="485">
        <f t="shared" si="20"/>
        <v>36187.075705768584</v>
      </c>
      <c r="G44" s="486">
        <f t="shared" si="21"/>
        <v>6324.5034849438553</v>
      </c>
      <c r="H44" s="455">
        <f t="shared" si="22"/>
        <v>6324.5034849438553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36187.075705768584</v>
      </c>
      <c r="E45" s="484">
        <f>IF(+I14&lt;F44,I14,D45)</f>
        <v>2299.1904761904761</v>
      </c>
      <c r="F45" s="485">
        <f t="shared" si="20"/>
        <v>33887.885229578111</v>
      </c>
      <c r="G45" s="486">
        <f t="shared" si="21"/>
        <v>6076.6248953575923</v>
      </c>
      <c r="H45" s="455">
        <f t="shared" si="22"/>
        <v>6076.6248953575923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33887.885229578111</v>
      </c>
      <c r="E46" s="484">
        <f>IF(+I14&lt;F45,I14,D46)</f>
        <v>2299.1904761904761</v>
      </c>
      <c r="F46" s="485">
        <f t="shared" si="20"/>
        <v>31588.694753387634</v>
      </c>
      <c r="G46" s="486">
        <f t="shared" si="21"/>
        <v>5828.7463057713285</v>
      </c>
      <c r="H46" s="455">
        <f t="shared" si="22"/>
        <v>5828.7463057713285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31588.694753387634</v>
      </c>
      <c r="E47" s="484">
        <f>IF(+I14&lt;F46,I14,D47)</f>
        <v>2299.1904761904761</v>
      </c>
      <c r="F47" s="485">
        <f t="shared" si="20"/>
        <v>29289.504277197157</v>
      </c>
      <c r="G47" s="486">
        <f t="shared" si="21"/>
        <v>5580.8677161850646</v>
      </c>
      <c r="H47" s="455">
        <f t="shared" si="22"/>
        <v>5580.8677161850646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29289.504277197157</v>
      </c>
      <c r="E48" s="484">
        <f>IF(+I14&lt;F47,I14,D48)</f>
        <v>2299.1904761904761</v>
      </c>
      <c r="F48" s="485">
        <f t="shared" si="20"/>
        <v>26990.31380100668</v>
      </c>
      <c r="G48" s="486">
        <f t="shared" si="21"/>
        <v>5332.9891265988008</v>
      </c>
      <c r="H48" s="455">
        <f t="shared" si="22"/>
        <v>5332.9891265988008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26990.31380100668</v>
      </c>
      <c r="E49" s="484">
        <f>IF(+I14&lt;F48,I14,D49)</f>
        <v>2299.1904761904761</v>
      </c>
      <c r="F49" s="485">
        <f t="shared" ref="F49:F72" si="23">+D49-E49</f>
        <v>24691.123324816203</v>
      </c>
      <c r="G49" s="486">
        <f t="shared" si="21"/>
        <v>5085.110537012537</v>
      </c>
      <c r="H49" s="455">
        <f t="shared" si="22"/>
        <v>5085.110537012537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3"/>
    </row>
    <row r="50" spans="2:16">
      <c r="B50" s="160" t="str">
        <f t="shared" si="6"/>
        <v/>
      </c>
      <c r="C50" s="472">
        <f>IF(D11="","-",+C49+1)</f>
        <v>2043</v>
      </c>
      <c r="D50" s="485">
        <f>IF(F49+SUM(E$17:E49)=D$10,F49,D$10-SUM(E$17:E49))</f>
        <v>24691.123324816203</v>
      </c>
      <c r="E50" s="484">
        <f>IF(+I14&lt;F49,I14,D50)</f>
        <v>2299.1904761904761</v>
      </c>
      <c r="F50" s="485">
        <f t="shared" si="23"/>
        <v>22391.932848625725</v>
      </c>
      <c r="G50" s="486">
        <f t="shared" si="21"/>
        <v>4837.2319474262731</v>
      </c>
      <c r="H50" s="455">
        <f t="shared" si="22"/>
        <v>4837.2319474262731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3"/>
    </row>
    <row r="51" spans="2:16">
      <c r="B51" s="160" t="str">
        <f t="shared" si="6"/>
        <v/>
      </c>
      <c r="C51" s="472">
        <f>IF(D11="","-",+C50+1)</f>
        <v>2044</v>
      </c>
      <c r="D51" s="485">
        <f>IF(F50+SUM(E$17:E50)=D$10,F50,D$10-SUM(E$17:E50))</f>
        <v>22391.932848625725</v>
      </c>
      <c r="E51" s="484">
        <f>IF(+I14&lt;F50,I14,D51)</f>
        <v>2299.1904761904761</v>
      </c>
      <c r="F51" s="485">
        <f t="shared" si="23"/>
        <v>20092.742372435248</v>
      </c>
      <c r="G51" s="486">
        <f t="shared" si="21"/>
        <v>4589.3533578400084</v>
      </c>
      <c r="H51" s="455">
        <f t="shared" si="22"/>
        <v>4589.3533578400084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3"/>
    </row>
    <row r="52" spans="2:16">
      <c r="B52" s="160" t="str">
        <f t="shared" si="6"/>
        <v/>
      </c>
      <c r="C52" s="472">
        <f>IF(D11="","-",+C51+1)</f>
        <v>2045</v>
      </c>
      <c r="D52" s="485">
        <f>IF(F51+SUM(E$17:E51)=D$10,F51,D$10-SUM(E$17:E51))</f>
        <v>20092.742372435248</v>
      </c>
      <c r="E52" s="484">
        <f>IF(+I14&lt;F51,I14,D52)</f>
        <v>2299.1904761904761</v>
      </c>
      <c r="F52" s="485">
        <f t="shared" si="23"/>
        <v>17793.551896244771</v>
      </c>
      <c r="G52" s="486">
        <f t="shared" si="21"/>
        <v>4341.4747682537454</v>
      </c>
      <c r="H52" s="455">
        <f t="shared" si="22"/>
        <v>4341.4747682537454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3"/>
    </row>
    <row r="53" spans="2:16">
      <c r="B53" s="160" t="str">
        <f t="shared" si="6"/>
        <v/>
      </c>
      <c r="C53" s="472">
        <f>IF(D11="","-",+C52+1)</f>
        <v>2046</v>
      </c>
      <c r="D53" s="485">
        <f>IF(F52+SUM(E$17:E52)=D$10,F52,D$10-SUM(E$17:E52))</f>
        <v>17793.551896244771</v>
      </c>
      <c r="E53" s="484">
        <f>IF(+I14&lt;F52,I14,D53)</f>
        <v>2299.1904761904761</v>
      </c>
      <c r="F53" s="485">
        <f t="shared" si="23"/>
        <v>15494.361420054294</v>
      </c>
      <c r="G53" s="486">
        <f t="shared" si="21"/>
        <v>4093.5961786674807</v>
      </c>
      <c r="H53" s="455">
        <f t="shared" si="22"/>
        <v>4093.5961786674807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3"/>
    </row>
    <row r="54" spans="2:16">
      <c r="B54" s="160" t="str">
        <f t="shared" si="6"/>
        <v/>
      </c>
      <c r="C54" s="472">
        <f>IF(D11="","-",+C53+1)</f>
        <v>2047</v>
      </c>
      <c r="D54" s="485">
        <f>IF(F53+SUM(E$17:E53)=D$10,F53,D$10-SUM(E$17:E53))</f>
        <v>15494.361420054294</v>
      </c>
      <c r="E54" s="484">
        <f>IF(+I14&lt;F53,I14,D54)</f>
        <v>2299.1904761904761</v>
      </c>
      <c r="F54" s="485">
        <f t="shared" si="23"/>
        <v>13195.170943863817</v>
      </c>
      <c r="G54" s="486">
        <f t="shared" si="21"/>
        <v>3845.7175890812168</v>
      </c>
      <c r="H54" s="455">
        <f t="shared" si="22"/>
        <v>3845.7175890812168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3"/>
    </row>
    <row r="55" spans="2:16">
      <c r="B55" s="160" t="str">
        <f t="shared" si="6"/>
        <v/>
      </c>
      <c r="C55" s="472">
        <f>IF(D11="","-",+C54+1)</f>
        <v>2048</v>
      </c>
      <c r="D55" s="485">
        <f>IF(F54+SUM(E$17:E54)=D$10,F54,D$10-SUM(E$17:E54))</f>
        <v>13195.170943863817</v>
      </c>
      <c r="E55" s="484">
        <f>IF(+I14&lt;F54,I14,D55)</f>
        <v>2299.1904761904761</v>
      </c>
      <c r="F55" s="485">
        <f t="shared" si="23"/>
        <v>10895.98046767334</v>
      </c>
      <c r="G55" s="486">
        <f t="shared" si="21"/>
        <v>3597.838999494953</v>
      </c>
      <c r="H55" s="455">
        <f t="shared" si="22"/>
        <v>3597.838999494953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3"/>
    </row>
    <row r="56" spans="2:16">
      <c r="B56" s="160" t="str">
        <f t="shared" si="6"/>
        <v/>
      </c>
      <c r="C56" s="472">
        <f>IF(D11="","-",+C55+1)</f>
        <v>2049</v>
      </c>
      <c r="D56" s="485">
        <f>IF(F55+SUM(E$17:E55)=D$10,F55,D$10-SUM(E$17:E55))</f>
        <v>10895.98046767334</v>
      </c>
      <c r="E56" s="484">
        <f>IF(+I14&lt;F55,I14,D56)</f>
        <v>2299.1904761904761</v>
      </c>
      <c r="F56" s="485">
        <f t="shared" si="23"/>
        <v>8596.7899914828631</v>
      </c>
      <c r="G56" s="486">
        <f t="shared" si="21"/>
        <v>3349.9604099086891</v>
      </c>
      <c r="H56" s="455">
        <f t="shared" si="22"/>
        <v>3349.9604099086891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3"/>
    </row>
    <row r="57" spans="2:16">
      <c r="B57" s="160" t="str">
        <f t="shared" si="6"/>
        <v/>
      </c>
      <c r="C57" s="472">
        <f>IF(D11="","-",+C56+1)</f>
        <v>2050</v>
      </c>
      <c r="D57" s="485">
        <f>IF(F56+SUM(E$17:E56)=D$10,F56,D$10-SUM(E$17:E56))</f>
        <v>8596.7899914828631</v>
      </c>
      <c r="E57" s="484">
        <f>IF(+I14&lt;F56,I14,D57)</f>
        <v>2299.1904761904761</v>
      </c>
      <c r="F57" s="485">
        <f t="shared" si="23"/>
        <v>6297.599515292387</v>
      </c>
      <c r="G57" s="486">
        <f t="shared" si="21"/>
        <v>3102.0818203224253</v>
      </c>
      <c r="H57" s="455">
        <f t="shared" si="22"/>
        <v>3102.0818203224253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3"/>
    </row>
    <row r="58" spans="2:16">
      <c r="B58" s="160" t="str">
        <f t="shared" si="6"/>
        <v/>
      </c>
      <c r="C58" s="472">
        <f>IF(D11="","-",+C57+1)</f>
        <v>2051</v>
      </c>
      <c r="D58" s="485">
        <f>IF(F57+SUM(E$17:E57)=D$10,F57,D$10-SUM(E$17:E57))</f>
        <v>6297.599515292387</v>
      </c>
      <c r="E58" s="484">
        <f>IF(+I14&lt;F57,I14,D58)</f>
        <v>2299.1904761904761</v>
      </c>
      <c r="F58" s="485">
        <f t="shared" si="23"/>
        <v>3998.4090391019108</v>
      </c>
      <c r="G58" s="486">
        <f t="shared" si="21"/>
        <v>2854.2032307361619</v>
      </c>
      <c r="H58" s="455">
        <f t="shared" si="22"/>
        <v>2854.2032307361619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3"/>
    </row>
    <row r="59" spans="2:16">
      <c r="B59" s="160" t="str">
        <f t="shared" si="6"/>
        <v/>
      </c>
      <c r="C59" s="472">
        <f>IF(D11="","-",+C58+1)</f>
        <v>2052</v>
      </c>
      <c r="D59" s="485">
        <f>IF(F58+SUM(E$17:E58)=D$10,F58,D$10-SUM(E$17:E58))</f>
        <v>3998.4090391019108</v>
      </c>
      <c r="E59" s="484">
        <f>IF(+I14&lt;F58,I14,D59)</f>
        <v>2299.1904761904761</v>
      </c>
      <c r="F59" s="485">
        <f t="shared" si="23"/>
        <v>1699.2185629114347</v>
      </c>
      <c r="G59" s="486">
        <f t="shared" si="21"/>
        <v>2606.3246411498981</v>
      </c>
      <c r="H59" s="455">
        <f t="shared" si="22"/>
        <v>2606.3246411498981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3"/>
    </row>
    <row r="60" spans="2:16">
      <c r="B60" s="160" t="str">
        <f t="shared" si="6"/>
        <v/>
      </c>
      <c r="C60" s="472">
        <f>IF(D11="","-",+C59+1)</f>
        <v>2053</v>
      </c>
      <c r="D60" s="485">
        <f>IF(F59+SUM(E$17:E59)=D$10,F59,D$10-SUM(E$17:E59))</f>
        <v>1699.2185629114347</v>
      </c>
      <c r="E60" s="484">
        <f>IF(+I14&lt;F59,I14,D60)</f>
        <v>1699.2185629114347</v>
      </c>
      <c r="F60" s="485">
        <f t="shared" si="23"/>
        <v>0</v>
      </c>
      <c r="G60" s="486">
        <f t="shared" si="21"/>
        <v>1790.8159979945797</v>
      </c>
      <c r="H60" s="455">
        <f t="shared" si="22"/>
        <v>1790.8159979945797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3"/>
    </row>
    <row r="61" spans="2:16">
      <c r="B61" s="160" t="str">
        <f t="shared" si="6"/>
        <v/>
      </c>
      <c r="C61" s="472">
        <f>IF(D11="","-",+C60+1)</f>
        <v>2054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6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3"/>
    </row>
    <row r="62" spans="2:16">
      <c r="B62" s="160" t="str">
        <f t="shared" si="6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6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3"/>
    </row>
    <row r="63" spans="2:16">
      <c r="B63" s="160" t="str">
        <f t="shared" si="6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3"/>
    </row>
    <row r="64" spans="2:16">
      <c r="B64" s="160" t="str">
        <f t="shared" si="6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3"/>
    </row>
    <row r="65" spans="2:16">
      <c r="B65" s="565" t="str">
        <f t="shared" si="6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3"/>
    </row>
    <row r="66" spans="2:16">
      <c r="B66" s="160" t="str">
        <f t="shared" si="6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3"/>
    </row>
    <row r="67" spans="2:16">
      <c r="B67" s="160" t="str">
        <f t="shared" si="6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3"/>
    </row>
    <row r="68" spans="2:16">
      <c r="B68" s="160" t="str">
        <f t="shared" si="6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3"/>
    </row>
    <row r="69" spans="2:16">
      <c r="B69" s="160" t="str">
        <f t="shared" si="6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3"/>
    </row>
    <row r="70" spans="2:16">
      <c r="B70" s="160" t="str">
        <f t="shared" si="6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3"/>
    </row>
    <row r="71" spans="2:16">
      <c r="B71" s="160" t="str">
        <f t="shared" si="6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si="21"/>
        <v>0</v>
      </c>
      <c r="H72" s="490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3"/>
    </row>
    <row r="73" spans="2:16">
      <c r="C73" s="347" t="s">
        <v>77</v>
      </c>
      <c r="D73" s="348"/>
      <c r="E73" s="348">
        <f>SUM(E17:E72)</f>
        <v>96565.999999999956</v>
      </c>
      <c r="F73" s="348"/>
      <c r="G73" s="348">
        <f>SUM(G17:G72)</f>
        <v>360965.54596976185</v>
      </c>
      <c r="H73" s="348">
        <f>SUM(H17:H72)</f>
        <v>360965.54596976185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10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9919.1904761904771</v>
      </c>
      <c r="N87" s="508">
        <f>IF(J92&lt;D11,0,VLOOKUP(J92,C17:O72,11))</f>
        <v>9919.1904761904771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10375.710571899024</v>
      </c>
      <c r="N88" s="512">
        <f>IF(J92&lt;D11,0,VLOOKUP(J92,C99:P154,7))</f>
        <v>10375.710571899024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Wavetrap Clinton City-Foss Tap 69kV Ckt 1*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456.52009570854716</v>
      </c>
      <c r="N89" s="517">
        <f>+N88-N87</f>
        <v>456.52009570854716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96566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2476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2010</v>
      </c>
      <c r="D99" s="473">
        <v>0</v>
      </c>
      <c r="E99" s="480">
        <v>946.5</v>
      </c>
      <c r="F99" s="479">
        <v>95619.5</v>
      </c>
      <c r="G99" s="537">
        <v>47809.75</v>
      </c>
      <c r="H99" s="538">
        <v>8635.0355480484341</v>
      </c>
      <c r="I99" s="539">
        <v>8635.0355480484341</v>
      </c>
      <c r="J99" s="478">
        <f t="shared" ref="J99:J130" si="28">+I99-H99</f>
        <v>0</v>
      </c>
      <c r="K99" s="478"/>
      <c r="L99" s="567">
        <f t="shared" ref="L99:L104" si="29">H99</f>
        <v>8635.0355480484341</v>
      </c>
      <c r="M99" s="568">
        <f t="shared" ref="M99:M130" si="30">IF(L99&lt;&gt;0,+H99-L99,0)</f>
        <v>0</v>
      </c>
      <c r="N99" s="567">
        <f t="shared" ref="N99:N104" si="31">I99</f>
        <v>8635.0355480484341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>
      <c r="B100" s="160" t="str">
        <f>IF(D100=F99,"","IU")</f>
        <v/>
      </c>
      <c r="C100" s="472">
        <f>IF(D93="","-",+C99+1)</f>
        <v>2011</v>
      </c>
      <c r="D100" s="473">
        <v>95619.5</v>
      </c>
      <c r="E100" s="480">
        <v>1857</v>
      </c>
      <c r="F100" s="479">
        <v>93762.5</v>
      </c>
      <c r="G100" s="479">
        <v>94691</v>
      </c>
      <c r="H100" s="480">
        <v>15096.07425133265</v>
      </c>
      <c r="I100" s="481">
        <v>15096.07425133265</v>
      </c>
      <c r="J100" s="478">
        <f t="shared" si="28"/>
        <v>0</v>
      </c>
      <c r="K100" s="478"/>
      <c r="L100" s="540">
        <f t="shared" si="29"/>
        <v>15096.07425133265</v>
      </c>
      <c r="M100" s="541">
        <f t="shared" si="30"/>
        <v>0</v>
      </c>
      <c r="N100" s="540">
        <f t="shared" si="31"/>
        <v>15096.07425133265</v>
      </c>
      <c r="O100" s="478">
        <f t="shared" si="32"/>
        <v>0</v>
      </c>
      <c r="P100" s="478">
        <f t="shared" si="33"/>
        <v>0</v>
      </c>
    </row>
    <row r="101" spans="1:16">
      <c r="B101" s="160" t="str">
        <f t="shared" ref="B101:B154" si="34">IF(D101=F100,"","IU")</f>
        <v/>
      </c>
      <c r="C101" s="472">
        <f>IF(D93="","-",+C100+1)</f>
        <v>2012</v>
      </c>
      <c r="D101" s="473">
        <v>93762.5</v>
      </c>
      <c r="E101" s="480">
        <v>1857</v>
      </c>
      <c r="F101" s="479">
        <v>91905.5</v>
      </c>
      <c r="G101" s="479">
        <v>92834</v>
      </c>
      <c r="H101" s="480">
        <v>15211.679797187964</v>
      </c>
      <c r="I101" s="481">
        <v>15211.679797187964</v>
      </c>
      <c r="J101" s="478">
        <v>0</v>
      </c>
      <c r="K101" s="478"/>
      <c r="L101" s="540">
        <f t="shared" si="29"/>
        <v>15211.679797187964</v>
      </c>
      <c r="M101" s="541">
        <f t="shared" ref="M101:M106" si="35">IF(L101&lt;&gt;0,+H101-L101,0)</f>
        <v>0</v>
      </c>
      <c r="N101" s="540">
        <f t="shared" si="31"/>
        <v>15211.679797187964</v>
      </c>
      <c r="O101" s="478">
        <f t="shared" ref="O101:O106" si="36">IF(N101&lt;&gt;0,+I101-N101,0)</f>
        <v>0</v>
      </c>
      <c r="P101" s="478">
        <f t="shared" ref="P101:P106" si="37">+O101-M101</f>
        <v>0</v>
      </c>
    </row>
    <row r="102" spans="1:16">
      <c r="B102" s="160" t="str">
        <f t="shared" si="34"/>
        <v/>
      </c>
      <c r="C102" s="472">
        <f>IF(D93="","-",+C101+1)</f>
        <v>2013</v>
      </c>
      <c r="D102" s="473">
        <v>91905.5</v>
      </c>
      <c r="E102" s="480">
        <v>1857</v>
      </c>
      <c r="F102" s="479">
        <v>90048.5</v>
      </c>
      <c r="G102" s="479">
        <v>90977</v>
      </c>
      <c r="H102" s="480">
        <v>14952.192437840908</v>
      </c>
      <c r="I102" s="481">
        <v>14952.192437840908</v>
      </c>
      <c r="J102" s="478">
        <v>0</v>
      </c>
      <c r="K102" s="478"/>
      <c r="L102" s="540">
        <f t="shared" si="29"/>
        <v>14952.192437840908</v>
      </c>
      <c r="M102" s="541">
        <f t="shared" si="35"/>
        <v>0</v>
      </c>
      <c r="N102" s="540">
        <f t="shared" si="31"/>
        <v>14952.192437840908</v>
      </c>
      <c r="O102" s="478">
        <f t="shared" si="36"/>
        <v>0</v>
      </c>
      <c r="P102" s="478">
        <f t="shared" si="37"/>
        <v>0</v>
      </c>
    </row>
    <row r="103" spans="1:16">
      <c r="B103" s="160" t="str">
        <f t="shared" si="34"/>
        <v/>
      </c>
      <c r="C103" s="472">
        <f>IF(D93="","-",+C102+1)</f>
        <v>2014</v>
      </c>
      <c r="D103" s="473">
        <v>90048.5</v>
      </c>
      <c r="E103" s="480">
        <v>1857</v>
      </c>
      <c r="F103" s="479">
        <v>88191.5</v>
      </c>
      <c r="G103" s="479">
        <v>89120</v>
      </c>
      <c r="H103" s="480">
        <v>14386.907699066522</v>
      </c>
      <c r="I103" s="481">
        <v>14386.907699066522</v>
      </c>
      <c r="J103" s="478">
        <v>0</v>
      </c>
      <c r="K103" s="478"/>
      <c r="L103" s="540">
        <f t="shared" si="29"/>
        <v>14386.907699066522</v>
      </c>
      <c r="M103" s="541">
        <f t="shared" si="35"/>
        <v>0</v>
      </c>
      <c r="N103" s="540">
        <f t="shared" si="31"/>
        <v>14386.907699066522</v>
      </c>
      <c r="O103" s="478">
        <f t="shared" si="36"/>
        <v>0</v>
      </c>
      <c r="P103" s="478">
        <f t="shared" si="37"/>
        <v>0</v>
      </c>
    </row>
    <row r="104" spans="1:16">
      <c r="B104" s="160" t="str">
        <f t="shared" si="34"/>
        <v/>
      </c>
      <c r="C104" s="472">
        <f>IF(D93="","-",+C103+1)</f>
        <v>2015</v>
      </c>
      <c r="D104" s="473">
        <v>88191.5</v>
      </c>
      <c r="E104" s="480">
        <v>1857</v>
      </c>
      <c r="F104" s="479">
        <v>86334.5</v>
      </c>
      <c r="G104" s="479">
        <v>87263</v>
      </c>
      <c r="H104" s="480">
        <v>13763.334720904193</v>
      </c>
      <c r="I104" s="481">
        <v>13763.334720904193</v>
      </c>
      <c r="J104" s="478">
        <f t="shared" si="28"/>
        <v>0</v>
      </c>
      <c r="K104" s="478"/>
      <c r="L104" s="540">
        <f t="shared" si="29"/>
        <v>13763.334720904193</v>
      </c>
      <c r="M104" s="541">
        <f t="shared" si="35"/>
        <v>0</v>
      </c>
      <c r="N104" s="540">
        <f t="shared" si="31"/>
        <v>13763.334720904193</v>
      </c>
      <c r="O104" s="478">
        <f t="shared" si="36"/>
        <v>0</v>
      </c>
      <c r="P104" s="478">
        <f t="shared" si="37"/>
        <v>0</v>
      </c>
    </row>
    <row r="105" spans="1:16">
      <c r="B105" s="160" t="str">
        <f t="shared" si="34"/>
        <v/>
      </c>
      <c r="C105" s="472">
        <f>IF(D93="","-",+C104+1)</f>
        <v>2016</v>
      </c>
      <c r="D105" s="473">
        <v>86334.5</v>
      </c>
      <c r="E105" s="480">
        <v>2099</v>
      </c>
      <c r="F105" s="479">
        <v>84235.5</v>
      </c>
      <c r="G105" s="479">
        <v>85285</v>
      </c>
      <c r="H105" s="480">
        <v>13093.579642748955</v>
      </c>
      <c r="I105" s="481">
        <v>13093.579642748955</v>
      </c>
      <c r="J105" s="478">
        <f t="shared" si="28"/>
        <v>0</v>
      </c>
      <c r="K105" s="478"/>
      <c r="L105" s="540">
        <f t="shared" ref="L105:L110" si="38">H105</f>
        <v>13093.579642748955</v>
      </c>
      <c r="M105" s="541">
        <f t="shared" si="35"/>
        <v>0</v>
      </c>
      <c r="N105" s="540">
        <f t="shared" ref="N105:N110" si="39">I105</f>
        <v>13093.579642748955</v>
      </c>
      <c r="O105" s="478">
        <f t="shared" si="36"/>
        <v>0</v>
      </c>
      <c r="P105" s="478">
        <f t="shared" si="37"/>
        <v>0</v>
      </c>
    </row>
    <row r="106" spans="1:16">
      <c r="B106" s="160" t="str">
        <f t="shared" si="34"/>
        <v/>
      </c>
      <c r="C106" s="472">
        <f>IF(D93="","-",+C105+1)</f>
        <v>2017</v>
      </c>
      <c r="D106" s="473">
        <v>84235.5</v>
      </c>
      <c r="E106" s="480">
        <v>2099</v>
      </c>
      <c r="F106" s="479">
        <v>82136.5</v>
      </c>
      <c r="G106" s="479">
        <v>83186</v>
      </c>
      <c r="H106" s="480">
        <v>12651.353853573521</v>
      </c>
      <c r="I106" s="481">
        <v>12651.353853573521</v>
      </c>
      <c r="J106" s="478">
        <f t="shared" si="28"/>
        <v>0</v>
      </c>
      <c r="K106" s="478"/>
      <c r="L106" s="540">
        <f t="shared" si="38"/>
        <v>12651.353853573521</v>
      </c>
      <c r="M106" s="541">
        <f t="shared" si="35"/>
        <v>0</v>
      </c>
      <c r="N106" s="540">
        <f t="shared" si="39"/>
        <v>12651.353853573521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4"/>
        <v/>
      </c>
      <c r="C107" s="472">
        <f>IF(D93="","-",+C106+1)</f>
        <v>2018</v>
      </c>
      <c r="D107" s="473">
        <v>82136.5</v>
      </c>
      <c r="E107" s="480">
        <v>2246</v>
      </c>
      <c r="F107" s="479">
        <v>79890.5</v>
      </c>
      <c r="G107" s="479">
        <v>81013.5</v>
      </c>
      <c r="H107" s="480">
        <v>10568.967843132519</v>
      </c>
      <c r="I107" s="481">
        <v>10568.967843132519</v>
      </c>
      <c r="J107" s="478">
        <f t="shared" si="28"/>
        <v>0</v>
      </c>
      <c r="K107" s="478"/>
      <c r="L107" s="540">
        <f t="shared" si="38"/>
        <v>10568.967843132519</v>
      </c>
      <c r="M107" s="541">
        <f t="shared" ref="M107" si="40">IF(L107&lt;&gt;0,+H107-L107,0)</f>
        <v>0</v>
      </c>
      <c r="N107" s="540">
        <f t="shared" si="39"/>
        <v>10568.967843132519</v>
      </c>
      <c r="O107" s="478">
        <f t="shared" ref="O107" si="41">IF(N107&lt;&gt;0,+I107-N107,0)</f>
        <v>0</v>
      </c>
      <c r="P107" s="478">
        <f t="shared" ref="P107" si="42">+O107-M107</f>
        <v>0</v>
      </c>
    </row>
    <row r="108" spans="1:16">
      <c r="B108" s="160" t="str">
        <f t="shared" si="34"/>
        <v/>
      </c>
      <c r="C108" s="472">
        <f>IF(D93="","-",+C107+1)</f>
        <v>2019</v>
      </c>
      <c r="D108" s="473">
        <v>79890.5</v>
      </c>
      <c r="E108" s="480">
        <v>2355</v>
      </c>
      <c r="F108" s="479">
        <v>77535.5</v>
      </c>
      <c r="G108" s="479">
        <v>78713</v>
      </c>
      <c r="H108" s="480">
        <v>10471.414334884656</v>
      </c>
      <c r="I108" s="481">
        <v>10471.414334884656</v>
      </c>
      <c r="J108" s="478">
        <f t="shared" si="28"/>
        <v>0</v>
      </c>
      <c r="K108" s="478"/>
      <c r="L108" s="540">
        <f t="shared" si="38"/>
        <v>10471.414334884656</v>
      </c>
      <c r="M108" s="541">
        <f t="shared" ref="M108" si="43">IF(L108&lt;&gt;0,+H108-L108,0)</f>
        <v>0</v>
      </c>
      <c r="N108" s="540">
        <f t="shared" si="39"/>
        <v>10471.414334884656</v>
      </c>
      <c r="O108" s="478">
        <f t="shared" si="32"/>
        <v>0</v>
      </c>
      <c r="P108" s="478">
        <f t="shared" si="33"/>
        <v>0</v>
      </c>
    </row>
    <row r="109" spans="1:16">
      <c r="B109" s="160" t="str">
        <f t="shared" si="34"/>
        <v/>
      </c>
      <c r="C109" s="472">
        <f>IF(D93="","-",+C108+1)</f>
        <v>2020</v>
      </c>
      <c r="D109" s="473">
        <v>77535.5</v>
      </c>
      <c r="E109" s="480">
        <v>2246</v>
      </c>
      <c r="F109" s="479">
        <v>75289.5</v>
      </c>
      <c r="G109" s="479">
        <v>76412.5</v>
      </c>
      <c r="H109" s="480">
        <v>11056.151171153304</v>
      </c>
      <c r="I109" s="481">
        <v>11056.151171153304</v>
      </c>
      <c r="J109" s="478">
        <f t="shared" si="28"/>
        <v>0</v>
      </c>
      <c r="K109" s="478"/>
      <c r="L109" s="540">
        <f t="shared" si="38"/>
        <v>11056.151171153304</v>
      </c>
      <c r="M109" s="541">
        <f t="shared" ref="M109" si="44">IF(L109&lt;&gt;0,+H109-L109,0)</f>
        <v>0</v>
      </c>
      <c r="N109" s="540">
        <f t="shared" si="39"/>
        <v>11056.151171153304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34"/>
        <v/>
      </c>
      <c r="C110" s="472">
        <f>IF(D93="","-",+C109+1)</f>
        <v>2021</v>
      </c>
      <c r="D110" s="473">
        <v>75289.5</v>
      </c>
      <c r="E110" s="480">
        <v>2355</v>
      </c>
      <c r="F110" s="479">
        <v>72934.5</v>
      </c>
      <c r="G110" s="479">
        <v>74112</v>
      </c>
      <c r="H110" s="480">
        <v>10788.411477147845</v>
      </c>
      <c r="I110" s="481">
        <v>10788.411477147845</v>
      </c>
      <c r="J110" s="478">
        <f t="shared" si="28"/>
        <v>0</v>
      </c>
      <c r="K110" s="478"/>
      <c r="L110" s="540">
        <f t="shared" si="38"/>
        <v>10788.411477147845</v>
      </c>
      <c r="M110" s="541">
        <f t="shared" ref="M110" si="45">IF(L110&lt;&gt;0,+H110-L110,0)</f>
        <v>0</v>
      </c>
      <c r="N110" s="540">
        <f t="shared" si="39"/>
        <v>10788.411477147845</v>
      </c>
      <c r="O110" s="478">
        <f t="shared" si="32"/>
        <v>0</v>
      </c>
      <c r="P110" s="478">
        <f t="shared" si="33"/>
        <v>0</v>
      </c>
    </row>
    <row r="111" spans="1:16">
      <c r="B111" s="160" t="str">
        <f t="shared" si="34"/>
        <v/>
      </c>
      <c r="C111" s="472">
        <f>IF(D93="","-",+C110+1)</f>
        <v>2022</v>
      </c>
      <c r="D111" s="347">
        <f>IF(F110+SUM(E$99:E110)=D$92,F110,D$92-SUM(E$99:E110))</f>
        <v>72934.5</v>
      </c>
      <c r="E111" s="486">
        <f>IF(+J96&lt;F110,J96,D111)</f>
        <v>2476</v>
      </c>
      <c r="F111" s="485">
        <f t="shared" ref="F111:F129" si="46">+D111-E111</f>
        <v>70458.5</v>
      </c>
      <c r="G111" s="485">
        <f t="shared" ref="G111:G129" si="47">+(F111+D111)/2</f>
        <v>71696.5</v>
      </c>
      <c r="H111" s="486">
        <f t="shared" ref="H111:H153" si="48">(D111+F111)/2*J$94+E111</f>
        <v>10375.710571899024</v>
      </c>
      <c r="I111" s="542">
        <f t="shared" ref="I111:I153" si="49">+J$95*G111+E111</f>
        <v>10375.710571899024</v>
      </c>
      <c r="J111" s="478">
        <f t="shared" si="28"/>
        <v>0</v>
      </c>
      <c r="K111" s="478"/>
      <c r="L111" s="487"/>
      <c r="M111" s="478">
        <f t="shared" si="30"/>
        <v>0</v>
      </c>
      <c r="N111" s="487"/>
      <c r="O111" s="478">
        <f t="shared" si="32"/>
        <v>0</v>
      </c>
      <c r="P111" s="478">
        <f t="shared" si="33"/>
        <v>0</v>
      </c>
    </row>
    <row r="112" spans="1:16">
      <c r="B112" s="160" t="str">
        <f t="shared" si="34"/>
        <v/>
      </c>
      <c r="C112" s="472">
        <f>IF(D93="","-",+C111+1)</f>
        <v>2023</v>
      </c>
      <c r="D112" s="347">
        <f>IF(F111+SUM(E$99:E111)=D$92,F111,D$92-SUM(E$99:E111))</f>
        <v>70458.5</v>
      </c>
      <c r="E112" s="486">
        <f>IF(+J96&lt;F111,J96,D112)</f>
        <v>2476</v>
      </c>
      <c r="F112" s="485">
        <f t="shared" si="46"/>
        <v>67982.5</v>
      </c>
      <c r="G112" s="485">
        <f t="shared" si="47"/>
        <v>69220.5</v>
      </c>
      <c r="H112" s="486">
        <f t="shared" si="48"/>
        <v>10102.898323378915</v>
      </c>
      <c r="I112" s="542">
        <f t="shared" si="49"/>
        <v>10102.898323378915</v>
      </c>
      <c r="J112" s="478">
        <f t="shared" si="28"/>
        <v>0</v>
      </c>
      <c r="K112" s="478"/>
      <c r="L112" s="487"/>
      <c r="M112" s="478">
        <f t="shared" si="30"/>
        <v>0</v>
      </c>
      <c r="N112" s="487"/>
      <c r="O112" s="478">
        <f t="shared" si="32"/>
        <v>0</v>
      </c>
      <c r="P112" s="478">
        <f t="shared" si="33"/>
        <v>0</v>
      </c>
    </row>
    <row r="113" spans="2:16">
      <c r="B113" s="160" t="str">
        <f t="shared" si="34"/>
        <v/>
      </c>
      <c r="C113" s="472">
        <f>IF(D93="","-",+C112+1)</f>
        <v>2024</v>
      </c>
      <c r="D113" s="347">
        <f>IF(F112+SUM(E$99:E112)=D$92,F112,D$92-SUM(E$99:E112))</f>
        <v>67982.5</v>
      </c>
      <c r="E113" s="486">
        <f>IF(+J96&lt;F112,J96,D113)</f>
        <v>2476</v>
      </c>
      <c r="F113" s="485">
        <f t="shared" si="46"/>
        <v>65506.5</v>
      </c>
      <c r="G113" s="485">
        <f t="shared" si="47"/>
        <v>66744.5</v>
      </c>
      <c r="H113" s="486">
        <f t="shared" si="48"/>
        <v>9830.0860748588057</v>
      </c>
      <c r="I113" s="542">
        <f t="shared" si="49"/>
        <v>9830.0860748588057</v>
      </c>
      <c r="J113" s="478">
        <f t="shared" si="28"/>
        <v>0</v>
      </c>
      <c r="K113" s="478"/>
      <c r="L113" s="487"/>
      <c r="M113" s="478">
        <f t="shared" si="30"/>
        <v>0</v>
      </c>
      <c r="N113" s="487"/>
      <c r="O113" s="478">
        <f t="shared" si="32"/>
        <v>0</v>
      </c>
      <c r="P113" s="478">
        <f t="shared" si="33"/>
        <v>0</v>
      </c>
    </row>
    <row r="114" spans="2:16">
      <c r="B114" s="160" t="str">
        <f t="shared" si="34"/>
        <v/>
      </c>
      <c r="C114" s="472">
        <f>IF(D93="","-",+C113+1)</f>
        <v>2025</v>
      </c>
      <c r="D114" s="347">
        <f>IF(F113+SUM(E$99:E113)=D$92,F113,D$92-SUM(E$99:E113))</f>
        <v>65506.5</v>
      </c>
      <c r="E114" s="486">
        <f>IF(+J96&lt;F113,J96,D114)</f>
        <v>2476</v>
      </c>
      <c r="F114" s="485">
        <f t="shared" si="46"/>
        <v>63030.5</v>
      </c>
      <c r="G114" s="485">
        <f t="shared" si="47"/>
        <v>64268.5</v>
      </c>
      <c r="H114" s="486">
        <f t="shared" si="48"/>
        <v>9557.2738263386982</v>
      </c>
      <c r="I114" s="542">
        <f t="shared" si="49"/>
        <v>9557.2738263386982</v>
      </c>
      <c r="J114" s="478">
        <f t="shared" si="28"/>
        <v>0</v>
      </c>
      <c r="K114" s="478"/>
      <c r="L114" s="487"/>
      <c r="M114" s="478">
        <f t="shared" si="30"/>
        <v>0</v>
      </c>
      <c r="N114" s="487"/>
      <c r="O114" s="478">
        <f t="shared" si="32"/>
        <v>0</v>
      </c>
      <c r="P114" s="478">
        <f t="shared" si="33"/>
        <v>0</v>
      </c>
    </row>
    <row r="115" spans="2:16">
      <c r="B115" s="160" t="str">
        <f t="shared" si="34"/>
        <v/>
      </c>
      <c r="C115" s="472">
        <f>IF(D93="","-",+C114+1)</f>
        <v>2026</v>
      </c>
      <c r="D115" s="347">
        <f>IF(F114+SUM(E$99:E114)=D$92,F114,D$92-SUM(E$99:E114))</f>
        <v>63030.5</v>
      </c>
      <c r="E115" s="486">
        <f>IF(+J96&lt;F114,J96,D115)</f>
        <v>2476</v>
      </c>
      <c r="F115" s="485">
        <f t="shared" si="46"/>
        <v>60554.5</v>
      </c>
      <c r="G115" s="485">
        <f t="shared" si="47"/>
        <v>61792.5</v>
      </c>
      <c r="H115" s="486">
        <f t="shared" si="48"/>
        <v>9284.4615778185889</v>
      </c>
      <c r="I115" s="542">
        <f t="shared" si="49"/>
        <v>9284.4615778185889</v>
      </c>
      <c r="J115" s="478">
        <f t="shared" si="28"/>
        <v>0</v>
      </c>
      <c r="K115" s="478"/>
      <c r="L115" s="487"/>
      <c r="M115" s="478">
        <f t="shared" si="30"/>
        <v>0</v>
      </c>
      <c r="N115" s="487"/>
      <c r="O115" s="478">
        <f t="shared" si="32"/>
        <v>0</v>
      </c>
      <c r="P115" s="478">
        <f t="shared" si="33"/>
        <v>0</v>
      </c>
    </row>
    <row r="116" spans="2:16">
      <c r="B116" s="160" t="str">
        <f t="shared" si="34"/>
        <v/>
      </c>
      <c r="C116" s="472">
        <f>IF(D93="","-",+C115+1)</f>
        <v>2027</v>
      </c>
      <c r="D116" s="347">
        <f>IF(F115+SUM(E$99:E115)=D$92,F115,D$92-SUM(E$99:E115))</f>
        <v>60554.5</v>
      </c>
      <c r="E116" s="486">
        <f>IF(+J96&lt;F115,J96,D116)</f>
        <v>2476</v>
      </c>
      <c r="F116" s="485">
        <f t="shared" si="46"/>
        <v>58078.5</v>
      </c>
      <c r="G116" s="485">
        <f t="shared" si="47"/>
        <v>59316.5</v>
      </c>
      <c r="H116" s="486">
        <f t="shared" si="48"/>
        <v>9011.6493292984815</v>
      </c>
      <c r="I116" s="542">
        <f t="shared" si="49"/>
        <v>9011.6493292984815</v>
      </c>
      <c r="J116" s="478">
        <f t="shared" si="28"/>
        <v>0</v>
      </c>
      <c r="K116" s="478"/>
      <c r="L116" s="487"/>
      <c r="M116" s="478">
        <f t="shared" si="30"/>
        <v>0</v>
      </c>
      <c r="N116" s="487"/>
      <c r="O116" s="478">
        <f t="shared" si="32"/>
        <v>0</v>
      </c>
      <c r="P116" s="478">
        <f t="shared" si="33"/>
        <v>0</v>
      </c>
    </row>
    <row r="117" spans="2:16">
      <c r="B117" s="160" t="str">
        <f t="shared" si="34"/>
        <v/>
      </c>
      <c r="C117" s="472">
        <f>IF(D93="","-",+C116+1)</f>
        <v>2028</v>
      </c>
      <c r="D117" s="347">
        <f>IF(F116+SUM(E$99:E116)=D$92,F116,D$92-SUM(E$99:E116))</f>
        <v>58078.5</v>
      </c>
      <c r="E117" s="486">
        <f>IF(+J96&lt;F116,J96,D117)</f>
        <v>2476</v>
      </c>
      <c r="F117" s="485">
        <f t="shared" si="46"/>
        <v>55602.5</v>
      </c>
      <c r="G117" s="485">
        <f t="shared" si="47"/>
        <v>56840.5</v>
      </c>
      <c r="H117" s="486">
        <f t="shared" si="48"/>
        <v>8738.8370807783722</v>
      </c>
      <c r="I117" s="542">
        <f t="shared" si="49"/>
        <v>8738.8370807783722</v>
      </c>
      <c r="J117" s="478">
        <f t="shared" si="28"/>
        <v>0</v>
      </c>
      <c r="K117" s="478"/>
      <c r="L117" s="487"/>
      <c r="M117" s="478">
        <f t="shared" si="30"/>
        <v>0</v>
      </c>
      <c r="N117" s="487"/>
      <c r="O117" s="478">
        <f t="shared" si="32"/>
        <v>0</v>
      </c>
      <c r="P117" s="478">
        <f t="shared" si="33"/>
        <v>0</v>
      </c>
    </row>
    <row r="118" spans="2:16">
      <c r="B118" s="160" t="str">
        <f t="shared" si="34"/>
        <v/>
      </c>
      <c r="C118" s="472">
        <f>IF(D93="","-",+C117+1)</f>
        <v>2029</v>
      </c>
      <c r="D118" s="347">
        <f>IF(F117+SUM(E$99:E117)=D$92,F117,D$92-SUM(E$99:E117))</f>
        <v>55602.5</v>
      </c>
      <c r="E118" s="486">
        <f>IF(+J96&lt;F117,J96,D118)</f>
        <v>2476</v>
      </c>
      <c r="F118" s="485">
        <f t="shared" si="46"/>
        <v>53126.5</v>
      </c>
      <c r="G118" s="485">
        <f t="shared" si="47"/>
        <v>54364.5</v>
      </c>
      <c r="H118" s="486">
        <f t="shared" si="48"/>
        <v>8466.0248322582629</v>
      </c>
      <c r="I118" s="542">
        <f t="shared" si="49"/>
        <v>8466.0248322582629</v>
      </c>
      <c r="J118" s="478">
        <f t="shared" si="28"/>
        <v>0</v>
      </c>
      <c r="K118" s="478"/>
      <c r="L118" s="487"/>
      <c r="M118" s="478">
        <f t="shared" si="30"/>
        <v>0</v>
      </c>
      <c r="N118" s="487"/>
      <c r="O118" s="478">
        <f t="shared" si="32"/>
        <v>0</v>
      </c>
      <c r="P118" s="478">
        <f t="shared" si="33"/>
        <v>0</v>
      </c>
    </row>
    <row r="119" spans="2:16">
      <c r="B119" s="160" t="str">
        <f t="shared" si="34"/>
        <v/>
      </c>
      <c r="C119" s="472">
        <f>IF(D93="","-",+C118+1)</f>
        <v>2030</v>
      </c>
      <c r="D119" s="347">
        <f>IF(F118+SUM(E$99:E118)=D$92,F118,D$92-SUM(E$99:E118))</f>
        <v>53126.5</v>
      </c>
      <c r="E119" s="486">
        <f>IF(+J96&lt;F118,J96,D119)</f>
        <v>2476</v>
      </c>
      <c r="F119" s="485">
        <f t="shared" si="46"/>
        <v>50650.5</v>
      </c>
      <c r="G119" s="485">
        <f t="shared" si="47"/>
        <v>51888.5</v>
      </c>
      <c r="H119" s="486">
        <f t="shared" si="48"/>
        <v>8193.2125837381536</v>
      </c>
      <c r="I119" s="542">
        <f t="shared" si="49"/>
        <v>8193.2125837381536</v>
      </c>
      <c r="J119" s="478">
        <f t="shared" si="28"/>
        <v>0</v>
      </c>
      <c r="K119" s="478"/>
      <c r="L119" s="487"/>
      <c r="M119" s="478">
        <f t="shared" si="30"/>
        <v>0</v>
      </c>
      <c r="N119" s="487"/>
      <c r="O119" s="478">
        <f t="shared" si="32"/>
        <v>0</v>
      </c>
      <c r="P119" s="478">
        <f t="shared" si="33"/>
        <v>0</v>
      </c>
    </row>
    <row r="120" spans="2:16">
      <c r="B120" s="160" t="str">
        <f t="shared" si="34"/>
        <v/>
      </c>
      <c r="C120" s="472">
        <f>IF(D93="","-",+C119+1)</f>
        <v>2031</v>
      </c>
      <c r="D120" s="347">
        <f>IF(F119+SUM(E$99:E119)=D$92,F119,D$92-SUM(E$99:E119))</f>
        <v>50650.5</v>
      </c>
      <c r="E120" s="486">
        <f>IF(+J96&lt;F119,J96,D120)</f>
        <v>2476</v>
      </c>
      <c r="F120" s="485">
        <f t="shared" si="46"/>
        <v>48174.5</v>
      </c>
      <c r="G120" s="485">
        <f t="shared" si="47"/>
        <v>49412.5</v>
      </c>
      <c r="H120" s="486">
        <f t="shared" si="48"/>
        <v>7920.4003352180443</v>
      </c>
      <c r="I120" s="542">
        <f t="shared" si="49"/>
        <v>7920.4003352180443</v>
      </c>
      <c r="J120" s="478">
        <f t="shared" si="28"/>
        <v>0</v>
      </c>
      <c r="K120" s="478"/>
      <c r="L120" s="487"/>
      <c r="M120" s="478">
        <f t="shared" si="30"/>
        <v>0</v>
      </c>
      <c r="N120" s="487"/>
      <c r="O120" s="478">
        <f t="shared" si="32"/>
        <v>0</v>
      </c>
      <c r="P120" s="478">
        <f t="shared" si="33"/>
        <v>0</v>
      </c>
    </row>
    <row r="121" spans="2:16">
      <c r="B121" s="160" t="str">
        <f t="shared" si="34"/>
        <v/>
      </c>
      <c r="C121" s="472">
        <f>IF(D93="","-",+C120+1)</f>
        <v>2032</v>
      </c>
      <c r="D121" s="347">
        <f>IF(F120+SUM(E$99:E120)=D$92,F120,D$92-SUM(E$99:E120))</f>
        <v>48174.5</v>
      </c>
      <c r="E121" s="486">
        <f>IF(+J96&lt;F120,J96,D121)</f>
        <v>2476</v>
      </c>
      <c r="F121" s="485">
        <f t="shared" si="46"/>
        <v>45698.5</v>
      </c>
      <c r="G121" s="485">
        <f t="shared" si="47"/>
        <v>46936.5</v>
      </c>
      <c r="H121" s="486">
        <f t="shared" si="48"/>
        <v>7647.588086697936</v>
      </c>
      <c r="I121" s="542">
        <f t="shared" si="49"/>
        <v>7647.588086697936</v>
      </c>
      <c r="J121" s="478">
        <f t="shared" si="28"/>
        <v>0</v>
      </c>
      <c r="K121" s="478"/>
      <c r="L121" s="487"/>
      <c r="M121" s="478">
        <f t="shared" si="30"/>
        <v>0</v>
      </c>
      <c r="N121" s="487"/>
      <c r="O121" s="478">
        <f t="shared" si="32"/>
        <v>0</v>
      </c>
      <c r="P121" s="478">
        <f t="shared" si="33"/>
        <v>0</v>
      </c>
    </row>
    <row r="122" spans="2:16">
      <c r="B122" s="160" t="str">
        <f t="shared" si="34"/>
        <v/>
      </c>
      <c r="C122" s="472">
        <f>IF(D93="","-",+C121+1)</f>
        <v>2033</v>
      </c>
      <c r="D122" s="347">
        <f>IF(F121+SUM(E$99:E121)=D$92,F121,D$92-SUM(E$99:E121))</f>
        <v>45698.5</v>
      </c>
      <c r="E122" s="486">
        <f>IF(+J96&lt;F121,J96,D122)</f>
        <v>2476</v>
      </c>
      <c r="F122" s="485">
        <f t="shared" si="46"/>
        <v>43222.5</v>
      </c>
      <c r="G122" s="485">
        <f t="shared" si="47"/>
        <v>44460.5</v>
      </c>
      <c r="H122" s="486">
        <f t="shared" si="48"/>
        <v>7374.7758381778267</v>
      </c>
      <c r="I122" s="542">
        <f t="shared" si="49"/>
        <v>7374.7758381778267</v>
      </c>
      <c r="J122" s="478">
        <f t="shared" si="28"/>
        <v>0</v>
      </c>
      <c r="K122" s="478"/>
      <c r="L122" s="487"/>
      <c r="M122" s="478">
        <f t="shared" si="30"/>
        <v>0</v>
      </c>
      <c r="N122" s="487"/>
      <c r="O122" s="478">
        <f t="shared" si="32"/>
        <v>0</v>
      </c>
      <c r="P122" s="478">
        <f t="shared" si="33"/>
        <v>0</v>
      </c>
    </row>
    <row r="123" spans="2:16">
      <c r="B123" s="160" t="str">
        <f t="shared" si="34"/>
        <v/>
      </c>
      <c r="C123" s="472">
        <f>IF(D93="","-",+C122+1)</f>
        <v>2034</v>
      </c>
      <c r="D123" s="347">
        <f>IF(F122+SUM(E$99:E122)=D$92,F122,D$92-SUM(E$99:E122))</f>
        <v>43222.5</v>
      </c>
      <c r="E123" s="486">
        <f>IF(+J96&lt;F122,J96,D123)</f>
        <v>2476</v>
      </c>
      <c r="F123" s="485">
        <f t="shared" si="46"/>
        <v>40746.5</v>
      </c>
      <c r="G123" s="485">
        <f t="shared" si="47"/>
        <v>41984.5</v>
      </c>
      <c r="H123" s="486">
        <f t="shared" si="48"/>
        <v>7101.9635896577183</v>
      </c>
      <c r="I123" s="542">
        <f t="shared" si="49"/>
        <v>7101.9635896577183</v>
      </c>
      <c r="J123" s="478">
        <f t="shared" si="28"/>
        <v>0</v>
      </c>
      <c r="K123" s="478"/>
      <c r="L123" s="487"/>
      <c r="M123" s="478">
        <f t="shared" si="30"/>
        <v>0</v>
      </c>
      <c r="N123" s="487"/>
      <c r="O123" s="478">
        <f t="shared" si="32"/>
        <v>0</v>
      </c>
      <c r="P123" s="478">
        <f t="shared" si="33"/>
        <v>0</v>
      </c>
    </row>
    <row r="124" spans="2:16">
      <c r="B124" s="160" t="str">
        <f t="shared" si="34"/>
        <v/>
      </c>
      <c r="C124" s="472">
        <f>IF(D93="","-",+C123+1)</f>
        <v>2035</v>
      </c>
      <c r="D124" s="347">
        <f>IF(F123+SUM(E$99:E123)=D$92,F123,D$92-SUM(E$99:E123))</f>
        <v>40746.5</v>
      </c>
      <c r="E124" s="486">
        <f>IF(+J96&lt;F123,J96,D124)</f>
        <v>2476</v>
      </c>
      <c r="F124" s="485">
        <f t="shared" si="46"/>
        <v>38270.5</v>
      </c>
      <c r="G124" s="485">
        <f t="shared" si="47"/>
        <v>39508.5</v>
      </c>
      <c r="H124" s="486">
        <f t="shared" si="48"/>
        <v>6829.1513411376091</v>
      </c>
      <c r="I124" s="542">
        <f t="shared" si="49"/>
        <v>6829.1513411376091</v>
      </c>
      <c r="J124" s="478">
        <f t="shared" si="28"/>
        <v>0</v>
      </c>
      <c r="K124" s="478"/>
      <c r="L124" s="487"/>
      <c r="M124" s="478">
        <f t="shared" si="30"/>
        <v>0</v>
      </c>
      <c r="N124" s="487"/>
      <c r="O124" s="478">
        <f t="shared" si="32"/>
        <v>0</v>
      </c>
      <c r="P124" s="478">
        <f t="shared" si="33"/>
        <v>0</v>
      </c>
    </row>
    <row r="125" spans="2:16">
      <c r="B125" s="160" t="str">
        <f t="shared" si="34"/>
        <v/>
      </c>
      <c r="C125" s="472">
        <f>IF(D93="","-",+C124+1)</f>
        <v>2036</v>
      </c>
      <c r="D125" s="347">
        <f>IF(F124+SUM(E$99:E124)=D$92,F124,D$92-SUM(E$99:E124))</f>
        <v>38270.5</v>
      </c>
      <c r="E125" s="486">
        <f>IF(+J96&lt;F124,J96,D125)</f>
        <v>2476</v>
      </c>
      <c r="F125" s="485">
        <f t="shared" si="46"/>
        <v>35794.5</v>
      </c>
      <c r="G125" s="485">
        <f t="shared" si="47"/>
        <v>37032.5</v>
      </c>
      <c r="H125" s="486">
        <f t="shared" si="48"/>
        <v>6556.3390926175007</v>
      </c>
      <c r="I125" s="542">
        <f t="shared" si="49"/>
        <v>6556.3390926175007</v>
      </c>
      <c r="J125" s="478">
        <f t="shared" si="28"/>
        <v>0</v>
      </c>
      <c r="K125" s="478"/>
      <c r="L125" s="487"/>
      <c r="M125" s="478">
        <f t="shared" si="30"/>
        <v>0</v>
      </c>
      <c r="N125" s="487"/>
      <c r="O125" s="478">
        <f t="shared" si="32"/>
        <v>0</v>
      </c>
      <c r="P125" s="478">
        <f t="shared" si="33"/>
        <v>0</v>
      </c>
    </row>
    <row r="126" spans="2:16">
      <c r="B126" s="160" t="str">
        <f t="shared" si="34"/>
        <v/>
      </c>
      <c r="C126" s="472">
        <f>IF(D93="","-",+C125+1)</f>
        <v>2037</v>
      </c>
      <c r="D126" s="347">
        <f>IF(F125+SUM(E$99:E125)=D$92,F125,D$92-SUM(E$99:E125))</f>
        <v>35794.5</v>
      </c>
      <c r="E126" s="486">
        <f>IF(+J96&lt;F125,J96,D126)</f>
        <v>2476</v>
      </c>
      <c r="F126" s="485">
        <f t="shared" si="46"/>
        <v>33318.5</v>
      </c>
      <c r="G126" s="485">
        <f t="shared" si="47"/>
        <v>34556.5</v>
      </c>
      <c r="H126" s="486">
        <f t="shared" si="48"/>
        <v>6283.5268440973923</v>
      </c>
      <c r="I126" s="542">
        <f t="shared" si="49"/>
        <v>6283.5268440973923</v>
      </c>
      <c r="J126" s="478">
        <f t="shared" si="28"/>
        <v>0</v>
      </c>
      <c r="K126" s="478"/>
      <c r="L126" s="487"/>
      <c r="M126" s="478">
        <f t="shared" si="30"/>
        <v>0</v>
      </c>
      <c r="N126" s="487"/>
      <c r="O126" s="478">
        <f t="shared" si="32"/>
        <v>0</v>
      </c>
      <c r="P126" s="478">
        <f t="shared" si="33"/>
        <v>0</v>
      </c>
    </row>
    <row r="127" spans="2:16">
      <c r="B127" s="160" t="str">
        <f t="shared" si="34"/>
        <v/>
      </c>
      <c r="C127" s="472">
        <f>IF(D93="","-",+C126+1)</f>
        <v>2038</v>
      </c>
      <c r="D127" s="347">
        <f>IF(F126+SUM(E$99:E126)=D$92,F126,D$92-SUM(E$99:E126))</f>
        <v>33318.5</v>
      </c>
      <c r="E127" s="486">
        <f>IF(+J96&lt;F126,J96,D127)</f>
        <v>2476</v>
      </c>
      <c r="F127" s="485">
        <f t="shared" si="46"/>
        <v>30842.5</v>
      </c>
      <c r="G127" s="485">
        <f t="shared" si="47"/>
        <v>32080.5</v>
      </c>
      <c r="H127" s="486">
        <f t="shared" si="48"/>
        <v>6010.714595577283</v>
      </c>
      <c r="I127" s="542">
        <f t="shared" si="49"/>
        <v>6010.714595577283</v>
      </c>
      <c r="J127" s="478">
        <f t="shared" si="28"/>
        <v>0</v>
      </c>
      <c r="K127" s="478"/>
      <c r="L127" s="487"/>
      <c r="M127" s="478">
        <f t="shared" si="30"/>
        <v>0</v>
      </c>
      <c r="N127" s="487"/>
      <c r="O127" s="478">
        <f t="shared" si="32"/>
        <v>0</v>
      </c>
      <c r="P127" s="478">
        <f t="shared" si="33"/>
        <v>0</v>
      </c>
    </row>
    <row r="128" spans="2:16">
      <c r="B128" s="160" t="str">
        <f t="shared" si="34"/>
        <v/>
      </c>
      <c r="C128" s="472">
        <f>IF(D93="","-",+C127+1)</f>
        <v>2039</v>
      </c>
      <c r="D128" s="347">
        <f>IF(F127+SUM(E$99:E127)=D$92,F127,D$92-SUM(E$99:E127))</f>
        <v>30842.5</v>
      </c>
      <c r="E128" s="486">
        <f>IF(+J96&lt;F127,J96,D128)</f>
        <v>2476</v>
      </c>
      <c r="F128" s="485">
        <f t="shared" si="46"/>
        <v>28366.5</v>
      </c>
      <c r="G128" s="485">
        <f t="shared" si="47"/>
        <v>29604.5</v>
      </c>
      <c r="H128" s="486">
        <f t="shared" si="48"/>
        <v>5737.9023470571738</v>
      </c>
      <c r="I128" s="542">
        <f t="shared" si="49"/>
        <v>5737.9023470571738</v>
      </c>
      <c r="J128" s="478">
        <f t="shared" si="28"/>
        <v>0</v>
      </c>
      <c r="K128" s="478"/>
      <c r="L128" s="487"/>
      <c r="M128" s="478">
        <f t="shared" si="30"/>
        <v>0</v>
      </c>
      <c r="N128" s="487"/>
      <c r="O128" s="478">
        <f t="shared" si="32"/>
        <v>0</v>
      </c>
      <c r="P128" s="478">
        <f t="shared" si="33"/>
        <v>0</v>
      </c>
    </row>
    <row r="129" spans="2:16">
      <c r="B129" s="160" t="str">
        <f t="shared" si="34"/>
        <v/>
      </c>
      <c r="C129" s="472">
        <f>IF(D93="","-",+C128+1)</f>
        <v>2040</v>
      </c>
      <c r="D129" s="347">
        <f>IF(F128+SUM(E$99:E128)=D$92,F128,D$92-SUM(E$99:E128))</f>
        <v>28366.5</v>
      </c>
      <c r="E129" s="486">
        <f>IF(+J96&lt;F128,J96,D129)</f>
        <v>2476</v>
      </c>
      <c r="F129" s="485">
        <f t="shared" si="46"/>
        <v>25890.5</v>
      </c>
      <c r="G129" s="485">
        <f t="shared" si="47"/>
        <v>27128.5</v>
      </c>
      <c r="H129" s="486">
        <f t="shared" si="48"/>
        <v>5465.0900985370645</v>
      </c>
      <c r="I129" s="542">
        <f t="shared" si="49"/>
        <v>5465.0900985370645</v>
      </c>
      <c r="J129" s="478">
        <f t="shared" si="28"/>
        <v>0</v>
      </c>
      <c r="K129" s="478"/>
      <c r="L129" s="487"/>
      <c r="M129" s="478">
        <f t="shared" si="30"/>
        <v>0</v>
      </c>
      <c r="N129" s="487"/>
      <c r="O129" s="478">
        <f t="shared" si="32"/>
        <v>0</v>
      </c>
      <c r="P129" s="478">
        <f t="shared" si="33"/>
        <v>0</v>
      </c>
    </row>
    <row r="130" spans="2:16">
      <c r="B130" s="160" t="str">
        <f t="shared" si="34"/>
        <v/>
      </c>
      <c r="C130" s="472">
        <f>IF(D93="","-",+C129+1)</f>
        <v>2041</v>
      </c>
      <c r="D130" s="347">
        <f>IF(F129+SUM(E$99:E129)=D$92,F129,D$92-SUM(E$99:E129))</f>
        <v>25890.5</v>
      </c>
      <c r="E130" s="486">
        <f>IF(+J96&lt;F129,J96,D130)</f>
        <v>2476</v>
      </c>
      <c r="F130" s="485">
        <f t="shared" ref="F130:F145" si="50">+D130-E130</f>
        <v>23414.5</v>
      </c>
      <c r="G130" s="485">
        <f t="shared" ref="G130:G145" si="51">+(F130+D130)/2</f>
        <v>24652.5</v>
      </c>
      <c r="H130" s="486">
        <f t="shared" si="48"/>
        <v>5192.2778500169561</v>
      </c>
      <c r="I130" s="542">
        <f t="shared" si="49"/>
        <v>5192.2778500169561</v>
      </c>
      <c r="J130" s="478">
        <f t="shared" si="28"/>
        <v>0</v>
      </c>
      <c r="K130" s="478"/>
      <c r="L130" s="487"/>
      <c r="M130" s="478">
        <f t="shared" si="30"/>
        <v>0</v>
      </c>
      <c r="N130" s="487"/>
      <c r="O130" s="478">
        <f t="shared" si="32"/>
        <v>0</v>
      </c>
      <c r="P130" s="478">
        <f t="shared" si="33"/>
        <v>0</v>
      </c>
    </row>
    <row r="131" spans="2:16">
      <c r="B131" s="160" t="str">
        <f t="shared" si="34"/>
        <v/>
      </c>
      <c r="C131" s="472">
        <f>IF(D93="","-",+C130+1)</f>
        <v>2042</v>
      </c>
      <c r="D131" s="347">
        <f>IF(F130+SUM(E$99:E130)=D$92,F130,D$92-SUM(E$99:E130))</f>
        <v>23414.5</v>
      </c>
      <c r="E131" s="486">
        <f>IF(+J96&lt;F130,J96,D131)</f>
        <v>2476</v>
      </c>
      <c r="F131" s="485">
        <f t="shared" si="50"/>
        <v>20938.5</v>
      </c>
      <c r="G131" s="485">
        <f t="shared" si="51"/>
        <v>22176.5</v>
      </c>
      <c r="H131" s="486">
        <f t="shared" si="48"/>
        <v>4919.4656014968477</v>
      </c>
      <c r="I131" s="542">
        <f t="shared" si="49"/>
        <v>4919.4656014968477</v>
      </c>
      <c r="J131" s="478">
        <f t="shared" ref="J131:J154" si="52">+I541-H541</f>
        <v>0</v>
      </c>
      <c r="K131" s="478"/>
      <c r="L131" s="487"/>
      <c r="M131" s="478">
        <f t="shared" ref="M131:M154" si="53">IF(L541&lt;&gt;0,+H541-L541,0)</f>
        <v>0</v>
      </c>
      <c r="N131" s="487"/>
      <c r="O131" s="478">
        <f t="shared" ref="O131:O154" si="54">IF(N541&lt;&gt;0,+I541-N541,0)</f>
        <v>0</v>
      </c>
      <c r="P131" s="478">
        <f t="shared" ref="P131:P154" si="55">+O541-M541</f>
        <v>0</v>
      </c>
    </row>
    <row r="132" spans="2:16">
      <c r="B132" s="160" t="str">
        <f t="shared" si="34"/>
        <v/>
      </c>
      <c r="C132" s="472">
        <f>IF(D93="","-",+C131+1)</f>
        <v>2043</v>
      </c>
      <c r="D132" s="347">
        <f>IF(F131+SUM(E$99:E131)=D$92,F131,D$92-SUM(E$99:E131))</f>
        <v>20938.5</v>
      </c>
      <c r="E132" s="486">
        <f>IF(+J96&lt;F131,J96,D132)</f>
        <v>2476</v>
      </c>
      <c r="F132" s="485">
        <f t="shared" si="50"/>
        <v>18462.5</v>
      </c>
      <c r="G132" s="485">
        <f t="shared" si="51"/>
        <v>19700.5</v>
      </c>
      <c r="H132" s="486">
        <f t="shared" si="48"/>
        <v>4646.6533529767385</v>
      </c>
      <c r="I132" s="542">
        <f t="shared" si="49"/>
        <v>4646.6533529767385</v>
      </c>
      <c r="J132" s="478">
        <f t="shared" si="52"/>
        <v>0</v>
      </c>
      <c r="K132" s="478"/>
      <c r="L132" s="487"/>
      <c r="M132" s="478">
        <f t="shared" si="53"/>
        <v>0</v>
      </c>
      <c r="N132" s="487"/>
      <c r="O132" s="478">
        <f t="shared" si="54"/>
        <v>0</v>
      </c>
      <c r="P132" s="478">
        <f t="shared" si="55"/>
        <v>0</v>
      </c>
    </row>
    <row r="133" spans="2:16">
      <c r="B133" s="160" t="str">
        <f t="shared" si="34"/>
        <v/>
      </c>
      <c r="C133" s="472">
        <f>IF(D93="","-",+C132+1)</f>
        <v>2044</v>
      </c>
      <c r="D133" s="347">
        <f>IF(F132+SUM(E$99:E132)=D$92,F132,D$92-SUM(E$99:E132))</f>
        <v>18462.5</v>
      </c>
      <c r="E133" s="486">
        <f>IF(+J96&lt;F132,J96,D133)</f>
        <v>2476</v>
      </c>
      <c r="F133" s="485">
        <f t="shared" si="50"/>
        <v>15986.5</v>
      </c>
      <c r="G133" s="485">
        <f t="shared" si="51"/>
        <v>17224.5</v>
      </c>
      <c r="H133" s="486">
        <f t="shared" si="48"/>
        <v>4373.8411044566292</v>
      </c>
      <c r="I133" s="542">
        <f t="shared" si="49"/>
        <v>4373.8411044566292</v>
      </c>
      <c r="J133" s="478">
        <f t="shared" si="52"/>
        <v>0</v>
      </c>
      <c r="K133" s="478"/>
      <c r="L133" s="487"/>
      <c r="M133" s="478">
        <f t="shared" si="53"/>
        <v>0</v>
      </c>
      <c r="N133" s="487"/>
      <c r="O133" s="478">
        <f t="shared" si="54"/>
        <v>0</v>
      </c>
      <c r="P133" s="478">
        <f t="shared" si="55"/>
        <v>0</v>
      </c>
    </row>
    <row r="134" spans="2:16">
      <c r="B134" s="160" t="str">
        <f t="shared" si="34"/>
        <v/>
      </c>
      <c r="C134" s="472">
        <f>IF(D93="","-",+C133+1)</f>
        <v>2045</v>
      </c>
      <c r="D134" s="347">
        <f>IF(F133+SUM(E$99:E133)=D$92,F133,D$92-SUM(E$99:E133))</f>
        <v>15986.5</v>
      </c>
      <c r="E134" s="486">
        <f>IF(+J96&lt;F133,J96,D134)</f>
        <v>2476</v>
      </c>
      <c r="F134" s="485">
        <f t="shared" si="50"/>
        <v>13510.5</v>
      </c>
      <c r="G134" s="485">
        <f t="shared" si="51"/>
        <v>14748.5</v>
      </c>
      <c r="H134" s="486">
        <f t="shared" si="48"/>
        <v>4101.0288559365208</v>
      </c>
      <c r="I134" s="542">
        <f t="shared" si="49"/>
        <v>4101.0288559365208</v>
      </c>
      <c r="J134" s="478">
        <f t="shared" si="52"/>
        <v>0</v>
      </c>
      <c r="K134" s="478"/>
      <c r="L134" s="487"/>
      <c r="M134" s="478">
        <f t="shared" si="53"/>
        <v>0</v>
      </c>
      <c r="N134" s="487"/>
      <c r="O134" s="478">
        <f t="shared" si="54"/>
        <v>0</v>
      </c>
      <c r="P134" s="478">
        <f t="shared" si="55"/>
        <v>0</v>
      </c>
    </row>
    <row r="135" spans="2:16">
      <c r="B135" s="160" t="str">
        <f t="shared" si="34"/>
        <v/>
      </c>
      <c r="C135" s="472">
        <f>IF(D93="","-",+C134+1)</f>
        <v>2046</v>
      </c>
      <c r="D135" s="347">
        <f>IF(F134+SUM(E$99:E134)=D$92,F134,D$92-SUM(E$99:E134))</f>
        <v>13510.5</v>
      </c>
      <c r="E135" s="486">
        <f>IF(+J96&lt;F134,J96,D135)</f>
        <v>2476</v>
      </c>
      <c r="F135" s="485">
        <f t="shared" si="50"/>
        <v>11034.5</v>
      </c>
      <c r="G135" s="485">
        <f t="shared" si="51"/>
        <v>12272.5</v>
      </c>
      <c r="H135" s="486">
        <f t="shared" si="48"/>
        <v>3828.216607416412</v>
      </c>
      <c r="I135" s="542">
        <f t="shared" si="49"/>
        <v>3828.216607416412</v>
      </c>
      <c r="J135" s="478">
        <f t="shared" si="52"/>
        <v>0</v>
      </c>
      <c r="K135" s="478"/>
      <c r="L135" s="487"/>
      <c r="M135" s="478">
        <f t="shared" si="53"/>
        <v>0</v>
      </c>
      <c r="N135" s="487"/>
      <c r="O135" s="478">
        <f t="shared" si="54"/>
        <v>0</v>
      </c>
      <c r="P135" s="478">
        <f t="shared" si="55"/>
        <v>0</v>
      </c>
    </row>
    <row r="136" spans="2:16">
      <c r="B136" s="160" t="str">
        <f t="shared" si="34"/>
        <v/>
      </c>
      <c r="C136" s="472">
        <f>IF(D93="","-",+C135+1)</f>
        <v>2047</v>
      </c>
      <c r="D136" s="347">
        <f>IF(F135+SUM(E$99:E135)=D$92,F135,D$92-SUM(E$99:E135))</f>
        <v>11034.5</v>
      </c>
      <c r="E136" s="486">
        <f>IF(+J96&lt;F135,J96,D136)</f>
        <v>2476</v>
      </c>
      <c r="F136" s="485">
        <f t="shared" si="50"/>
        <v>8558.5</v>
      </c>
      <c r="G136" s="485">
        <f t="shared" si="51"/>
        <v>9796.5</v>
      </c>
      <c r="H136" s="486">
        <f t="shared" si="48"/>
        <v>3555.4043588963032</v>
      </c>
      <c r="I136" s="542">
        <f t="shared" si="49"/>
        <v>3555.4043588963032</v>
      </c>
      <c r="J136" s="478">
        <f t="shared" si="52"/>
        <v>0</v>
      </c>
      <c r="K136" s="478"/>
      <c r="L136" s="487"/>
      <c r="M136" s="478">
        <f t="shared" si="53"/>
        <v>0</v>
      </c>
      <c r="N136" s="487"/>
      <c r="O136" s="478">
        <f t="shared" si="54"/>
        <v>0</v>
      </c>
      <c r="P136" s="478">
        <f t="shared" si="55"/>
        <v>0</v>
      </c>
    </row>
    <row r="137" spans="2:16">
      <c r="B137" s="160" t="str">
        <f t="shared" si="34"/>
        <v/>
      </c>
      <c r="C137" s="472">
        <f>IF(D93="","-",+C136+1)</f>
        <v>2048</v>
      </c>
      <c r="D137" s="347">
        <f>IF(F136+SUM(E$99:E136)=D$92,F136,D$92-SUM(E$99:E136))</f>
        <v>8558.5</v>
      </c>
      <c r="E137" s="486">
        <f>IF(+J96&lt;F136,J96,D137)</f>
        <v>2476</v>
      </c>
      <c r="F137" s="485">
        <f t="shared" si="50"/>
        <v>6082.5</v>
      </c>
      <c r="G137" s="485">
        <f t="shared" si="51"/>
        <v>7320.5</v>
      </c>
      <c r="H137" s="486">
        <f t="shared" si="48"/>
        <v>3282.5921103761943</v>
      </c>
      <c r="I137" s="542">
        <f t="shared" si="49"/>
        <v>3282.5921103761943</v>
      </c>
      <c r="J137" s="478">
        <f t="shared" si="52"/>
        <v>0</v>
      </c>
      <c r="K137" s="478"/>
      <c r="L137" s="487"/>
      <c r="M137" s="478">
        <f t="shared" si="53"/>
        <v>0</v>
      </c>
      <c r="N137" s="487"/>
      <c r="O137" s="478">
        <f t="shared" si="54"/>
        <v>0</v>
      </c>
      <c r="P137" s="478">
        <f t="shared" si="55"/>
        <v>0</v>
      </c>
    </row>
    <row r="138" spans="2:16">
      <c r="B138" s="160" t="str">
        <f t="shared" si="34"/>
        <v/>
      </c>
      <c r="C138" s="472">
        <f>IF(D93="","-",+C137+1)</f>
        <v>2049</v>
      </c>
      <c r="D138" s="347">
        <f>IF(F137+SUM(E$99:E137)=D$92,F137,D$92-SUM(E$99:E137))</f>
        <v>6082.5</v>
      </c>
      <c r="E138" s="486">
        <f>IF(+J96&lt;F137,J96,D138)</f>
        <v>2476</v>
      </c>
      <c r="F138" s="485">
        <f t="shared" si="50"/>
        <v>3606.5</v>
      </c>
      <c r="G138" s="485">
        <f t="shared" si="51"/>
        <v>4844.5</v>
      </c>
      <c r="H138" s="486">
        <f t="shared" si="48"/>
        <v>3009.7798618560855</v>
      </c>
      <c r="I138" s="542">
        <f t="shared" si="49"/>
        <v>3009.7798618560855</v>
      </c>
      <c r="J138" s="478">
        <f t="shared" si="52"/>
        <v>0</v>
      </c>
      <c r="K138" s="478"/>
      <c r="L138" s="487"/>
      <c r="M138" s="478">
        <f t="shared" si="53"/>
        <v>0</v>
      </c>
      <c r="N138" s="487"/>
      <c r="O138" s="478">
        <f t="shared" si="54"/>
        <v>0</v>
      </c>
      <c r="P138" s="478">
        <f t="shared" si="55"/>
        <v>0</v>
      </c>
    </row>
    <row r="139" spans="2:16">
      <c r="B139" s="160" t="str">
        <f t="shared" si="34"/>
        <v/>
      </c>
      <c r="C139" s="472">
        <f>IF(D93="","-",+C138+1)</f>
        <v>2050</v>
      </c>
      <c r="D139" s="347">
        <f>IF(F138+SUM(E$99:E138)=D$92,F138,D$92-SUM(E$99:E138))</f>
        <v>3606.5</v>
      </c>
      <c r="E139" s="486">
        <f>IF(+J96&lt;F138,J96,D139)</f>
        <v>2476</v>
      </c>
      <c r="F139" s="485">
        <f t="shared" si="50"/>
        <v>1130.5</v>
      </c>
      <c r="G139" s="485">
        <f t="shared" si="51"/>
        <v>2368.5</v>
      </c>
      <c r="H139" s="486">
        <f t="shared" si="48"/>
        <v>2736.9676133359767</v>
      </c>
      <c r="I139" s="542">
        <f t="shared" si="49"/>
        <v>2736.9676133359767</v>
      </c>
      <c r="J139" s="478">
        <f t="shared" si="52"/>
        <v>0</v>
      </c>
      <c r="K139" s="478"/>
      <c r="L139" s="487"/>
      <c r="M139" s="478">
        <f t="shared" si="53"/>
        <v>0</v>
      </c>
      <c r="N139" s="487"/>
      <c r="O139" s="478">
        <f t="shared" si="54"/>
        <v>0</v>
      </c>
      <c r="P139" s="478">
        <f t="shared" si="55"/>
        <v>0</v>
      </c>
    </row>
    <row r="140" spans="2:16">
      <c r="B140" s="160" t="str">
        <f t="shared" si="34"/>
        <v/>
      </c>
      <c r="C140" s="472">
        <f>IF(D93="","-",+C139+1)</f>
        <v>2051</v>
      </c>
      <c r="D140" s="347">
        <f>IF(F139+SUM(E$99:E139)=D$92,F139,D$92-SUM(E$99:E139))</f>
        <v>1130.5</v>
      </c>
      <c r="E140" s="486">
        <f>IF(+J96&lt;F139,J96,D140)</f>
        <v>1130.5</v>
      </c>
      <c r="F140" s="485">
        <f t="shared" si="50"/>
        <v>0</v>
      </c>
      <c r="G140" s="485">
        <f t="shared" si="51"/>
        <v>565.25</v>
      </c>
      <c r="H140" s="486">
        <f t="shared" si="48"/>
        <v>1192.780744537961</v>
      </c>
      <c r="I140" s="542">
        <f t="shared" si="49"/>
        <v>1192.780744537961</v>
      </c>
      <c r="J140" s="478">
        <f t="shared" si="52"/>
        <v>0</v>
      </c>
      <c r="K140" s="478"/>
      <c r="L140" s="487"/>
      <c r="M140" s="478">
        <f t="shared" si="53"/>
        <v>0</v>
      </c>
      <c r="N140" s="487"/>
      <c r="O140" s="478">
        <f t="shared" si="54"/>
        <v>0</v>
      </c>
      <c r="P140" s="478">
        <f t="shared" si="55"/>
        <v>0</v>
      </c>
    </row>
    <row r="141" spans="2:16">
      <c r="B141" s="160" t="str">
        <f t="shared" si="34"/>
        <v/>
      </c>
      <c r="C141" s="472">
        <f>IF(D93="","-",+C140+1)</f>
        <v>2052</v>
      </c>
      <c r="D141" s="347">
        <f>IF(F140+SUM(E$99:E140)=D$92,F140,D$92-SUM(E$99:E140))</f>
        <v>0</v>
      </c>
      <c r="E141" s="486">
        <f>IF(+J96&lt;F140,J96,D141)</f>
        <v>0</v>
      </c>
      <c r="F141" s="485">
        <f t="shared" si="50"/>
        <v>0</v>
      </c>
      <c r="G141" s="485">
        <f t="shared" si="51"/>
        <v>0</v>
      </c>
      <c r="H141" s="486">
        <f t="shared" si="48"/>
        <v>0</v>
      </c>
      <c r="I141" s="542">
        <f t="shared" si="49"/>
        <v>0</v>
      </c>
      <c r="J141" s="478">
        <f t="shared" si="52"/>
        <v>0</v>
      </c>
      <c r="K141" s="478"/>
      <c r="L141" s="487"/>
      <c r="M141" s="478">
        <f t="shared" si="53"/>
        <v>0</v>
      </c>
      <c r="N141" s="487"/>
      <c r="O141" s="478">
        <f t="shared" si="54"/>
        <v>0</v>
      </c>
      <c r="P141" s="478">
        <f t="shared" si="55"/>
        <v>0</v>
      </c>
    </row>
    <row r="142" spans="2:16">
      <c r="B142" s="160" t="str">
        <f t="shared" si="34"/>
        <v/>
      </c>
      <c r="C142" s="472">
        <f>IF(D93="","-",+C141+1)</f>
        <v>2053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0"/>
        <v>0</v>
      </c>
      <c r="G142" s="485">
        <f t="shared" si="51"/>
        <v>0</v>
      </c>
      <c r="H142" s="486">
        <f t="shared" si="48"/>
        <v>0</v>
      </c>
      <c r="I142" s="542">
        <f t="shared" si="49"/>
        <v>0</v>
      </c>
      <c r="J142" s="478">
        <f t="shared" si="52"/>
        <v>0</v>
      </c>
      <c r="K142" s="478"/>
      <c r="L142" s="487"/>
      <c r="M142" s="478">
        <f t="shared" si="53"/>
        <v>0</v>
      </c>
      <c r="N142" s="487"/>
      <c r="O142" s="478">
        <f t="shared" si="54"/>
        <v>0</v>
      </c>
      <c r="P142" s="478">
        <f t="shared" si="55"/>
        <v>0</v>
      </c>
    </row>
    <row r="143" spans="2:16">
      <c r="B143" s="160" t="str">
        <f t="shared" si="34"/>
        <v/>
      </c>
      <c r="C143" s="472">
        <f>IF(D93="","-",+C142+1)</f>
        <v>2054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0"/>
        <v>0</v>
      </c>
      <c r="G143" s="485">
        <f t="shared" si="51"/>
        <v>0</v>
      </c>
      <c r="H143" s="486">
        <f t="shared" si="48"/>
        <v>0</v>
      </c>
      <c r="I143" s="542">
        <f t="shared" si="49"/>
        <v>0</v>
      </c>
      <c r="J143" s="478">
        <f t="shared" si="52"/>
        <v>0</v>
      </c>
      <c r="K143" s="478"/>
      <c r="L143" s="487"/>
      <c r="M143" s="478">
        <f t="shared" si="53"/>
        <v>0</v>
      </c>
      <c r="N143" s="487"/>
      <c r="O143" s="478">
        <f t="shared" si="54"/>
        <v>0</v>
      </c>
      <c r="P143" s="478">
        <f t="shared" si="55"/>
        <v>0</v>
      </c>
    </row>
    <row r="144" spans="2:16">
      <c r="B144" s="160" t="str">
        <f t="shared" si="34"/>
        <v/>
      </c>
      <c r="C144" s="472">
        <f>IF(D93="","-",+C143+1)</f>
        <v>2055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0"/>
        <v>0</v>
      </c>
      <c r="G144" s="485">
        <f t="shared" si="51"/>
        <v>0</v>
      </c>
      <c r="H144" s="486">
        <f t="shared" si="48"/>
        <v>0</v>
      </c>
      <c r="I144" s="542">
        <f t="shared" si="49"/>
        <v>0</v>
      </c>
      <c r="J144" s="478">
        <f t="shared" si="52"/>
        <v>0</v>
      </c>
      <c r="K144" s="478"/>
      <c r="L144" s="487"/>
      <c r="M144" s="478">
        <f t="shared" si="53"/>
        <v>0</v>
      </c>
      <c r="N144" s="487"/>
      <c r="O144" s="478">
        <f t="shared" si="54"/>
        <v>0</v>
      </c>
      <c r="P144" s="478">
        <f t="shared" si="55"/>
        <v>0</v>
      </c>
    </row>
    <row r="145" spans="2:16">
      <c r="B145" s="160" t="str">
        <f t="shared" si="34"/>
        <v/>
      </c>
      <c r="C145" s="472">
        <f>IF(D93="","-",+C144+1)</f>
        <v>2056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0"/>
        <v>0</v>
      </c>
      <c r="G145" s="485">
        <f t="shared" si="51"/>
        <v>0</v>
      </c>
      <c r="H145" s="486">
        <f t="shared" si="48"/>
        <v>0</v>
      </c>
      <c r="I145" s="542">
        <f t="shared" si="49"/>
        <v>0</v>
      </c>
      <c r="J145" s="478">
        <f t="shared" si="52"/>
        <v>0</v>
      </c>
      <c r="K145" s="478"/>
      <c r="L145" s="487"/>
      <c r="M145" s="478">
        <f t="shared" si="53"/>
        <v>0</v>
      </c>
      <c r="N145" s="487"/>
      <c r="O145" s="478">
        <f t="shared" si="54"/>
        <v>0</v>
      </c>
      <c r="P145" s="478">
        <f t="shared" si="55"/>
        <v>0</v>
      </c>
    </row>
    <row r="146" spans="2:16">
      <c r="B146" s="160" t="str">
        <f t="shared" si="34"/>
        <v/>
      </c>
      <c r="C146" s="472">
        <f>IF(D93="","-",+C145+1)</f>
        <v>2057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ref="F146:F154" si="56">+D146-E146</f>
        <v>0</v>
      </c>
      <c r="G146" s="485">
        <f t="shared" ref="G146:G154" si="57">+(F146+D146)/2</f>
        <v>0</v>
      </c>
      <c r="H146" s="486">
        <f t="shared" si="48"/>
        <v>0</v>
      </c>
      <c r="I146" s="542">
        <f t="shared" si="49"/>
        <v>0</v>
      </c>
      <c r="J146" s="478">
        <f t="shared" si="52"/>
        <v>0</v>
      </c>
      <c r="K146" s="478"/>
      <c r="L146" s="487"/>
      <c r="M146" s="478">
        <f t="shared" si="53"/>
        <v>0</v>
      </c>
      <c r="N146" s="487"/>
      <c r="O146" s="478">
        <f t="shared" si="54"/>
        <v>0</v>
      </c>
      <c r="P146" s="478">
        <f t="shared" si="55"/>
        <v>0</v>
      </c>
    </row>
    <row r="147" spans="2:16">
      <c r="B147" s="160" t="str">
        <f t="shared" si="34"/>
        <v/>
      </c>
      <c r="C147" s="472">
        <f>IF(D93="","-",+C146+1)</f>
        <v>2058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6"/>
        <v>0</v>
      </c>
      <c r="G147" s="485">
        <f t="shared" si="57"/>
        <v>0</v>
      </c>
      <c r="H147" s="486">
        <f t="shared" si="48"/>
        <v>0</v>
      </c>
      <c r="I147" s="542">
        <f t="shared" si="49"/>
        <v>0</v>
      </c>
      <c r="J147" s="478">
        <f t="shared" si="52"/>
        <v>0</v>
      </c>
      <c r="K147" s="478"/>
      <c r="L147" s="487"/>
      <c r="M147" s="478">
        <f t="shared" si="53"/>
        <v>0</v>
      </c>
      <c r="N147" s="487"/>
      <c r="O147" s="478">
        <f t="shared" si="54"/>
        <v>0</v>
      </c>
      <c r="P147" s="478">
        <f t="shared" si="55"/>
        <v>0</v>
      </c>
    </row>
    <row r="148" spans="2:16">
      <c r="B148" s="160" t="str">
        <f t="shared" si="34"/>
        <v/>
      </c>
      <c r="C148" s="472">
        <f>IF(D93="","-",+C147+1)</f>
        <v>2059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6"/>
        <v>0</v>
      </c>
      <c r="G148" s="485">
        <f t="shared" si="57"/>
        <v>0</v>
      </c>
      <c r="H148" s="486">
        <f t="shared" si="48"/>
        <v>0</v>
      </c>
      <c r="I148" s="542">
        <f t="shared" si="49"/>
        <v>0</v>
      </c>
      <c r="J148" s="478">
        <f t="shared" si="52"/>
        <v>0</v>
      </c>
      <c r="K148" s="478"/>
      <c r="L148" s="487"/>
      <c r="M148" s="478">
        <f t="shared" si="53"/>
        <v>0</v>
      </c>
      <c r="N148" s="487"/>
      <c r="O148" s="478">
        <f t="shared" si="54"/>
        <v>0</v>
      </c>
      <c r="P148" s="478">
        <f t="shared" si="55"/>
        <v>0</v>
      </c>
    </row>
    <row r="149" spans="2:16">
      <c r="B149" s="160" t="str">
        <f t="shared" si="34"/>
        <v/>
      </c>
      <c r="C149" s="472">
        <f>IF(D93="","-",+C148+1)</f>
        <v>2060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6"/>
        <v>0</v>
      </c>
      <c r="G149" s="485">
        <f t="shared" si="57"/>
        <v>0</v>
      </c>
      <c r="H149" s="486">
        <f t="shared" si="48"/>
        <v>0</v>
      </c>
      <c r="I149" s="542">
        <f t="shared" si="49"/>
        <v>0</v>
      </c>
      <c r="J149" s="478">
        <f t="shared" si="52"/>
        <v>0</v>
      </c>
      <c r="K149" s="478"/>
      <c r="L149" s="487"/>
      <c r="M149" s="478">
        <f t="shared" si="53"/>
        <v>0</v>
      </c>
      <c r="N149" s="487"/>
      <c r="O149" s="478">
        <f t="shared" si="54"/>
        <v>0</v>
      </c>
      <c r="P149" s="478">
        <f t="shared" si="55"/>
        <v>0</v>
      </c>
    </row>
    <row r="150" spans="2:16">
      <c r="B150" s="160" t="str">
        <f t="shared" si="34"/>
        <v/>
      </c>
      <c r="C150" s="472">
        <f>IF(D93="","-",+C149+1)</f>
        <v>2061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6"/>
        <v>0</v>
      </c>
      <c r="G150" s="485">
        <f t="shared" si="57"/>
        <v>0</v>
      </c>
      <c r="H150" s="486">
        <f t="shared" si="48"/>
        <v>0</v>
      </c>
      <c r="I150" s="542">
        <f t="shared" si="49"/>
        <v>0</v>
      </c>
      <c r="J150" s="478">
        <f t="shared" si="52"/>
        <v>0</v>
      </c>
      <c r="K150" s="478"/>
      <c r="L150" s="487"/>
      <c r="M150" s="478">
        <f t="shared" si="53"/>
        <v>0</v>
      </c>
      <c r="N150" s="487"/>
      <c r="O150" s="478">
        <f t="shared" si="54"/>
        <v>0</v>
      </c>
      <c r="P150" s="478">
        <f t="shared" si="55"/>
        <v>0</v>
      </c>
    </row>
    <row r="151" spans="2:16">
      <c r="B151" s="160" t="str">
        <f t="shared" si="34"/>
        <v/>
      </c>
      <c r="C151" s="472">
        <f>IF(D93="","-",+C150+1)</f>
        <v>2062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6"/>
        <v>0</v>
      </c>
      <c r="G151" s="485">
        <f t="shared" si="57"/>
        <v>0</v>
      </c>
      <c r="H151" s="486">
        <f t="shared" si="48"/>
        <v>0</v>
      </c>
      <c r="I151" s="542">
        <f t="shared" si="49"/>
        <v>0</v>
      </c>
      <c r="J151" s="478">
        <f t="shared" si="52"/>
        <v>0</v>
      </c>
      <c r="K151" s="478"/>
      <c r="L151" s="487"/>
      <c r="M151" s="478">
        <f t="shared" si="53"/>
        <v>0</v>
      </c>
      <c r="N151" s="487"/>
      <c r="O151" s="478">
        <f t="shared" si="54"/>
        <v>0</v>
      </c>
      <c r="P151" s="478">
        <f t="shared" si="55"/>
        <v>0</v>
      </c>
    </row>
    <row r="152" spans="2:16">
      <c r="B152" s="160" t="str">
        <f t="shared" si="34"/>
        <v/>
      </c>
      <c r="C152" s="472">
        <f>IF(D93="","-",+C151+1)</f>
        <v>2063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6"/>
        <v>0</v>
      </c>
      <c r="G152" s="485">
        <f t="shared" si="57"/>
        <v>0</v>
      </c>
      <c r="H152" s="486">
        <f t="shared" si="48"/>
        <v>0</v>
      </c>
      <c r="I152" s="542">
        <f t="shared" si="49"/>
        <v>0</v>
      </c>
      <c r="J152" s="478">
        <f t="shared" si="52"/>
        <v>0</v>
      </c>
      <c r="K152" s="478"/>
      <c r="L152" s="487"/>
      <c r="M152" s="478">
        <f t="shared" si="53"/>
        <v>0</v>
      </c>
      <c r="N152" s="487"/>
      <c r="O152" s="478">
        <f t="shared" si="54"/>
        <v>0</v>
      </c>
      <c r="P152" s="478">
        <f t="shared" si="55"/>
        <v>0</v>
      </c>
    </row>
    <row r="153" spans="2:16">
      <c r="B153" s="160" t="str">
        <f t="shared" si="34"/>
        <v/>
      </c>
      <c r="C153" s="472">
        <f>IF(D93="","-",+C152+1)</f>
        <v>2064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6"/>
        <v>0</v>
      </c>
      <c r="G153" s="485">
        <f t="shared" si="57"/>
        <v>0</v>
      </c>
      <c r="H153" s="486">
        <f t="shared" si="48"/>
        <v>0</v>
      </c>
      <c r="I153" s="542">
        <f t="shared" si="49"/>
        <v>0</v>
      </c>
      <c r="J153" s="478">
        <f t="shared" si="52"/>
        <v>0</v>
      </c>
      <c r="K153" s="478"/>
      <c r="L153" s="487"/>
      <c r="M153" s="478">
        <f t="shared" si="53"/>
        <v>0</v>
      </c>
      <c r="N153" s="487"/>
      <c r="O153" s="478">
        <f t="shared" si="54"/>
        <v>0</v>
      </c>
      <c r="P153" s="478">
        <f t="shared" si="55"/>
        <v>0</v>
      </c>
    </row>
    <row r="154" spans="2:16" ht="13.5" thickBot="1">
      <c r="B154" s="160" t="str">
        <f t="shared" si="34"/>
        <v/>
      </c>
      <c r="C154" s="489">
        <f>IF(D93="","-",+C153+1)</f>
        <v>2065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6"/>
        <v>0</v>
      </c>
      <c r="G154" s="490">
        <f t="shared" si="57"/>
        <v>0</v>
      </c>
      <c r="H154" s="492">
        <f t="shared" ref="H154" si="58">+J$94*G154+E154</f>
        <v>0</v>
      </c>
      <c r="I154" s="545">
        <f t="shared" ref="I154" si="59">+J$95*G154+E154</f>
        <v>0</v>
      </c>
      <c r="J154" s="495">
        <f t="shared" si="52"/>
        <v>0</v>
      </c>
      <c r="K154" s="478"/>
      <c r="L154" s="494"/>
      <c r="M154" s="495">
        <f t="shared" si="53"/>
        <v>0</v>
      </c>
      <c r="N154" s="494"/>
      <c r="O154" s="495">
        <f t="shared" si="54"/>
        <v>0</v>
      </c>
      <c r="P154" s="495">
        <f t="shared" si="55"/>
        <v>0</v>
      </c>
    </row>
    <row r="155" spans="2:16">
      <c r="C155" s="347" t="s">
        <v>77</v>
      </c>
      <c r="D155" s="348"/>
      <c r="E155" s="348">
        <f>SUM(E99:E154)</f>
        <v>96566</v>
      </c>
      <c r="F155" s="348"/>
      <c r="G155" s="348"/>
      <c r="H155" s="348">
        <f>SUM(H99:H154)</f>
        <v>342001.71720746689</v>
      </c>
      <c r="I155" s="348">
        <f>SUM(I99:I154)</f>
        <v>342001.71720746689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92D050"/>
  </sheetPr>
  <dimension ref="A1:P162"/>
  <sheetViews>
    <sheetView view="pageBreakPreview" zoomScale="75" zoomScaleNormal="100" workbookViewId="0">
      <selection activeCell="D11" sqref="D1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3" width="17.7109375" style="148" customWidth="1"/>
    <col min="14" max="14" width="16.7109375" style="148" customWidth="1"/>
    <col min="15" max="15" width="18.4257812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11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6.5" thickBot="1">
      <c r="C4" s="569" t="s">
        <v>260</v>
      </c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147114.94333333333</v>
      </c>
      <c r="P5" s="233"/>
    </row>
    <row r="6" spans="1:16" ht="15.75">
      <c r="C6" s="570" t="s">
        <v>261</v>
      </c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147114.94333333333</v>
      </c>
      <c r="O6" s="233"/>
      <c r="P6" s="233"/>
    </row>
    <row r="7" spans="1:16" ht="13.5" thickBot="1">
      <c r="C7" s="431" t="s">
        <v>46</v>
      </c>
      <c r="D7" s="432" t="s">
        <v>229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5.75" thickBot="1">
      <c r="C8" s="571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228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1493723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2011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35564.833333333336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2011</v>
      </c>
      <c r="D17" s="473">
        <v>1624000</v>
      </c>
      <c r="E17" s="474">
        <v>15921.568627450981</v>
      </c>
      <c r="F17" s="473">
        <v>1608078.4313725489</v>
      </c>
      <c r="G17" s="474">
        <v>267655.54041850357</v>
      </c>
      <c r="H17" s="481">
        <v>267655.54041850357</v>
      </c>
      <c r="I17" s="475">
        <f>H17-G17</f>
        <v>0</v>
      </c>
      <c r="J17" s="475"/>
      <c r="K17" s="554">
        <f t="shared" ref="K17:K22" si="0">G17</f>
        <v>267655.54041850357</v>
      </c>
      <c r="L17" s="562">
        <f t="shared" ref="L17:L48" si="1">IF(K17&lt;&gt;0,+G17-K17,0)</f>
        <v>0</v>
      </c>
      <c r="M17" s="554">
        <f t="shared" ref="M17:M22" si="2">H17</f>
        <v>267655.54041850357</v>
      </c>
      <c r="N17" s="477">
        <f t="shared" ref="N17:N48" si="3">IF(M17&lt;&gt;0,+H17-M17,0)</f>
        <v>0</v>
      </c>
      <c r="O17" s="478">
        <f t="shared" ref="O17:O48" si="4">+N17-L17</f>
        <v>0</v>
      </c>
      <c r="P17" s="243"/>
    </row>
    <row r="18" spans="2:16">
      <c r="B18" s="160" t="str">
        <f t="shared" ref="B18:B49" si="5">IF(D18=F17,"","IU")</f>
        <v>IU</v>
      </c>
      <c r="C18" s="472">
        <f>IF(D11="","-",+C17+1)</f>
        <v>2012</v>
      </c>
      <c r="D18" s="479">
        <v>1420815.4313725489</v>
      </c>
      <c r="E18" s="480">
        <v>27629.557692307691</v>
      </c>
      <c r="F18" s="479">
        <v>1393185.8736802412</v>
      </c>
      <c r="G18" s="480">
        <v>221570.55769230769</v>
      </c>
      <c r="H18" s="481">
        <v>221570.55769230769</v>
      </c>
      <c r="I18" s="475">
        <f t="shared" ref="I18:I48" si="6">H18-G18</f>
        <v>0</v>
      </c>
      <c r="J18" s="475"/>
      <c r="K18" s="476">
        <f t="shared" si="0"/>
        <v>221570.55769230769</v>
      </c>
      <c r="L18" s="550">
        <f t="shared" si="1"/>
        <v>0</v>
      </c>
      <c r="M18" s="476">
        <f t="shared" si="2"/>
        <v>221570.55769230769</v>
      </c>
      <c r="N18" s="478">
        <f t="shared" si="3"/>
        <v>0</v>
      </c>
      <c r="O18" s="478">
        <f t="shared" si="4"/>
        <v>0</v>
      </c>
      <c r="P18" s="243"/>
    </row>
    <row r="19" spans="2:16">
      <c r="B19" s="160" t="str">
        <f t="shared" si="5"/>
        <v>IU</v>
      </c>
      <c r="C19" s="472">
        <f>IF(D11="","-",+C18+1)</f>
        <v>2013</v>
      </c>
      <c r="D19" s="479">
        <v>1450171.8736802414</v>
      </c>
      <c r="E19" s="480">
        <v>28725.442307692309</v>
      </c>
      <c r="F19" s="479">
        <v>1421446.4313725492</v>
      </c>
      <c r="G19" s="480">
        <v>231717.44230769231</v>
      </c>
      <c r="H19" s="481">
        <v>231717.44230769231</v>
      </c>
      <c r="I19" s="475">
        <v>0</v>
      </c>
      <c r="J19" s="475"/>
      <c r="K19" s="476">
        <f t="shared" si="0"/>
        <v>231717.44230769231</v>
      </c>
      <c r="L19" s="550">
        <f t="shared" ref="L19:L24" si="7">IF(K19&lt;&gt;0,+G19-K19,0)</f>
        <v>0</v>
      </c>
      <c r="M19" s="476">
        <f t="shared" si="2"/>
        <v>231717.44230769231</v>
      </c>
      <c r="N19" s="478">
        <f t="shared" ref="N19:N24" si="8">IF(M19&lt;&gt;0,+H19-M19,0)</f>
        <v>0</v>
      </c>
      <c r="O19" s="478">
        <f t="shared" ref="O19:O24" si="9">+N19-L19</f>
        <v>0</v>
      </c>
      <c r="P19" s="243"/>
    </row>
    <row r="20" spans="2:16">
      <c r="B20" s="160" t="str">
        <f t="shared" si="5"/>
        <v>IU</v>
      </c>
      <c r="C20" s="472">
        <f>IF(D11="","-",+C19+1)</f>
        <v>2014</v>
      </c>
      <c r="D20" s="479">
        <v>1331823.0513725488</v>
      </c>
      <c r="E20" s="480">
        <v>27001.915769230767</v>
      </c>
      <c r="F20" s="479">
        <v>1304821.135603318</v>
      </c>
      <c r="G20" s="480">
        <v>206621.91576923078</v>
      </c>
      <c r="H20" s="481">
        <v>206621.91576923078</v>
      </c>
      <c r="I20" s="475">
        <v>0</v>
      </c>
      <c r="J20" s="475"/>
      <c r="K20" s="476">
        <f t="shared" si="0"/>
        <v>206621.91576923078</v>
      </c>
      <c r="L20" s="550">
        <f t="shared" si="7"/>
        <v>0</v>
      </c>
      <c r="M20" s="476">
        <f t="shared" si="2"/>
        <v>206621.91576923078</v>
      </c>
      <c r="N20" s="478">
        <f t="shared" si="8"/>
        <v>0</v>
      </c>
      <c r="O20" s="478">
        <f t="shared" si="9"/>
        <v>0</v>
      </c>
      <c r="P20" s="243"/>
    </row>
    <row r="21" spans="2:16">
      <c r="B21" s="160" t="str">
        <f t="shared" si="5"/>
        <v/>
      </c>
      <c r="C21" s="472">
        <f>IF(D11="","-",+C20+1)</f>
        <v>2015</v>
      </c>
      <c r="D21" s="479">
        <v>1304821.135603318</v>
      </c>
      <c r="E21" s="480">
        <v>27001.915769230767</v>
      </c>
      <c r="F21" s="479">
        <v>1277819.2198340872</v>
      </c>
      <c r="G21" s="480">
        <v>203176.91576923078</v>
      </c>
      <c r="H21" s="481">
        <v>203176.91576923078</v>
      </c>
      <c r="I21" s="475">
        <v>0</v>
      </c>
      <c r="J21" s="475"/>
      <c r="K21" s="476">
        <f t="shared" si="0"/>
        <v>203176.91576923078</v>
      </c>
      <c r="L21" s="550">
        <f t="shared" si="7"/>
        <v>0</v>
      </c>
      <c r="M21" s="476">
        <f t="shared" si="2"/>
        <v>203176.91576923078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5"/>
        <v/>
      </c>
      <c r="C22" s="472">
        <f>IF(D11="","-",+C21+1)</f>
        <v>2016</v>
      </c>
      <c r="D22" s="479">
        <v>1277819.2198340872</v>
      </c>
      <c r="E22" s="480">
        <v>27001.915769230767</v>
      </c>
      <c r="F22" s="479">
        <v>1250817.3040648564</v>
      </c>
      <c r="G22" s="480">
        <v>191058.91576923078</v>
      </c>
      <c r="H22" s="481">
        <v>191058.91576923078</v>
      </c>
      <c r="I22" s="475">
        <f t="shared" si="6"/>
        <v>0</v>
      </c>
      <c r="J22" s="475"/>
      <c r="K22" s="476">
        <f t="shared" si="0"/>
        <v>191058.91576923078</v>
      </c>
      <c r="L22" s="550">
        <f t="shared" si="7"/>
        <v>0</v>
      </c>
      <c r="M22" s="476">
        <f t="shared" si="2"/>
        <v>191058.91576923078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5"/>
        <v/>
      </c>
      <c r="C23" s="472">
        <f>IF(D11="","-",+C22+1)</f>
        <v>2017</v>
      </c>
      <c r="D23" s="479">
        <v>1250817.3040648564</v>
      </c>
      <c r="E23" s="480">
        <v>30523.904782608693</v>
      </c>
      <c r="F23" s="479">
        <v>1220293.3992822478</v>
      </c>
      <c r="G23" s="480">
        <v>185818.9047826087</v>
      </c>
      <c r="H23" s="481">
        <v>185818.9047826087</v>
      </c>
      <c r="I23" s="475">
        <f t="shared" si="6"/>
        <v>0</v>
      </c>
      <c r="J23" s="475"/>
      <c r="K23" s="476">
        <f t="shared" ref="K23:K28" si="10">G23</f>
        <v>185818.9047826087</v>
      </c>
      <c r="L23" s="550">
        <f t="shared" si="7"/>
        <v>0</v>
      </c>
      <c r="M23" s="476">
        <f t="shared" ref="M23:M28" si="11">H23</f>
        <v>185818.9047826087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5"/>
        <v/>
      </c>
      <c r="C24" s="472">
        <f>IF(D11="","-",+C23+1)</f>
        <v>2018</v>
      </c>
      <c r="D24" s="479">
        <v>1220293.3992822478</v>
      </c>
      <c r="E24" s="480">
        <v>31202.213777777775</v>
      </c>
      <c r="F24" s="479">
        <v>1189091.18550447</v>
      </c>
      <c r="G24" s="480">
        <v>175474.88659362236</v>
      </c>
      <c r="H24" s="481">
        <v>175474.88659362236</v>
      </c>
      <c r="I24" s="475">
        <f t="shared" si="6"/>
        <v>0</v>
      </c>
      <c r="J24" s="475"/>
      <c r="K24" s="476">
        <f t="shared" si="10"/>
        <v>175474.88659362236</v>
      </c>
      <c r="L24" s="550">
        <f t="shared" si="7"/>
        <v>0</v>
      </c>
      <c r="M24" s="476">
        <f t="shared" si="11"/>
        <v>175474.88659362236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5"/>
        <v/>
      </c>
      <c r="C25" s="472">
        <f>IF(D11="","-",+C24+1)</f>
        <v>2019</v>
      </c>
      <c r="D25" s="479">
        <v>1189091.18550447</v>
      </c>
      <c r="E25" s="480">
        <v>35102.4905</v>
      </c>
      <c r="F25" s="479">
        <v>1153988.6950044699</v>
      </c>
      <c r="G25" s="480">
        <v>165912.69365934882</v>
      </c>
      <c r="H25" s="481">
        <v>165912.69365934882</v>
      </c>
      <c r="I25" s="475">
        <f t="shared" si="6"/>
        <v>0</v>
      </c>
      <c r="J25" s="475"/>
      <c r="K25" s="476">
        <f t="shared" si="10"/>
        <v>165912.69365934882</v>
      </c>
      <c r="L25" s="550">
        <f t="shared" ref="L25" si="12">IF(K25&lt;&gt;0,+G25-K25,0)</f>
        <v>0</v>
      </c>
      <c r="M25" s="476">
        <f t="shared" si="11"/>
        <v>165912.69365934882</v>
      </c>
      <c r="N25" s="478">
        <f t="shared" ref="N25" si="13">IF(M25&lt;&gt;0,+H25-M25,0)</f>
        <v>0</v>
      </c>
      <c r="O25" s="478">
        <f t="shared" ref="O25" si="14">+N25-L25</f>
        <v>0</v>
      </c>
      <c r="P25" s="243"/>
    </row>
    <row r="26" spans="2:16">
      <c r="B26" s="160" t="str">
        <f t="shared" si="5"/>
        <v>IU</v>
      </c>
      <c r="C26" s="472">
        <f>IF(D11="","-",+C25+1)</f>
        <v>2020</v>
      </c>
      <c r="D26" s="479">
        <v>1157888.9717266923</v>
      </c>
      <c r="E26" s="480">
        <v>33430.943333333329</v>
      </c>
      <c r="F26" s="479">
        <v>1124458.0283933589</v>
      </c>
      <c r="G26" s="480">
        <v>156683.13262286683</v>
      </c>
      <c r="H26" s="481">
        <v>156683.13262286683</v>
      </c>
      <c r="I26" s="475">
        <f t="shared" si="6"/>
        <v>0</v>
      </c>
      <c r="J26" s="475"/>
      <c r="K26" s="476">
        <f t="shared" si="10"/>
        <v>156683.13262286683</v>
      </c>
      <c r="L26" s="550">
        <f t="shared" ref="L26" si="15">IF(K26&lt;&gt;0,+G26-K26,0)</f>
        <v>0</v>
      </c>
      <c r="M26" s="476">
        <f t="shared" si="11"/>
        <v>156683.13262286683</v>
      </c>
      <c r="N26" s="478">
        <f t="shared" si="3"/>
        <v>0</v>
      </c>
      <c r="O26" s="478">
        <f t="shared" si="4"/>
        <v>0</v>
      </c>
      <c r="P26" s="243"/>
    </row>
    <row r="27" spans="2:16">
      <c r="B27" s="160" t="str">
        <f t="shared" si="5"/>
        <v>IU</v>
      </c>
      <c r="C27" s="472">
        <f>IF(D11="","-",+C26+1)</f>
        <v>2021</v>
      </c>
      <c r="D27" s="479">
        <v>1120557.7516711368</v>
      </c>
      <c r="E27" s="480">
        <v>32653.479534883718</v>
      </c>
      <c r="F27" s="479">
        <v>1087904.2721362531</v>
      </c>
      <c r="G27" s="480">
        <v>149953.47953488372</v>
      </c>
      <c r="H27" s="481">
        <v>149953.47953488372</v>
      </c>
      <c r="I27" s="475">
        <f t="shared" si="6"/>
        <v>0</v>
      </c>
      <c r="J27" s="475"/>
      <c r="K27" s="476">
        <f t="shared" si="10"/>
        <v>149953.47953488372</v>
      </c>
      <c r="L27" s="550">
        <f t="shared" ref="L27" si="16">IF(K27&lt;&gt;0,+G27-K27,0)</f>
        <v>0</v>
      </c>
      <c r="M27" s="476">
        <f t="shared" si="11"/>
        <v>149953.47953488372</v>
      </c>
      <c r="N27" s="478">
        <f t="shared" si="3"/>
        <v>0</v>
      </c>
      <c r="O27" s="478">
        <f t="shared" si="4"/>
        <v>0</v>
      </c>
      <c r="P27" s="243"/>
    </row>
    <row r="28" spans="2:16">
      <c r="B28" s="160" t="str">
        <f t="shared" si="5"/>
        <v/>
      </c>
      <c r="C28" s="472">
        <f>IF(D11="","-",+C27+1)</f>
        <v>2022</v>
      </c>
      <c r="D28" s="479">
        <v>1087904.2721362531</v>
      </c>
      <c r="E28" s="480">
        <v>33430.943333333329</v>
      </c>
      <c r="F28" s="479">
        <v>1054473.3288029197</v>
      </c>
      <c r="G28" s="480">
        <v>147114.94333333333</v>
      </c>
      <c r="H28" s="481">
        <v>147114.94333333333</v>
      </c>
      <c r="I28" s="475">
        <f t="shared" si="6"/>
        <v>0</v>
      </c>
      <c r="J28" s="475"/>
      <c r="K28" s="476">
        <f t="shared" si="10"/>
        <v>147114.94333333333</v>
      </c>
      <c r="L28" s="550">
        <f t="shared" ref="L28" si="17">IF(K28&lt;&gt;0,+G28-K28,0)</f>
        <v>0</v>
      </c>
      <c r="M28" s="476">
        <f t="shared" si="11"/>
        <v>147114.94333333333</v>
      </c>
      <c r="N28" s="478">
        <f t="shared" si="3"/>
        <v>0</v>
      </c>
      <c r="O28" s="478">
        <f t="shared" si="4"/>
        <v>0</v>
      </c>
      <c r="P28" s="243"/>
    </row>
    <row r="29" spans="2:16">
      <c r="B29" s="160" t="str">
        <f t="shared" si="5"/>
        <v>IU</v>
      </c>
      <c r="C29" s="472">
        <f>IF(D11="","-",+C28+1)</f>
        <v>2023</v>
      </c>
      <c r="D29" s="485">
        <f>IF(F28+SUM(E$17:E28)=D$10,F28,D$10-SUM(E$17:E28))</f>
        <v>1144096.7088029198</v>
      </c>
      <c r="E29" s="484">
        <f>IF(+I14&lt;F28,I14,D29)</f>
        <v>35564.833333333336</v>
      </c>
      <c r="F29" s="485">
        <f t="shared" ref="F29:F49" si="18">+D29-E29</f>
        <v>1108531.8754695866</v>
      </c>
      <c r="G29" s="486">
        <f t="shared" ref="G29:G72" si="19">(D29+F29)/2*I$12+E29</f>
        <v>156994.18033905578</v>
      </c>
      <c r="H29" s="455">
        <f t="shared" ref="H29:H72" si="20">+(D29+F29)/2*I$13+E29</f>
        <v>156994.18033905578</v>
      </c>
      <c r="I29" s="475">
        <f t="shared" si="6"/>
        <v>0</v>
      </c>
      <c r="J29" s="475"/>
      <c r="K29" s="487"/>
      <c r="L29" s="478">
        <f t="shared" si="1"/>
        <v>0</v>
      </c>
      <c r="M29" s="487"/>
      <c r="N29" s="478">
        <f t="shared" si="3"/>
        <v>0</v>
      </c>
      <c r="O29" s="478">
        <f t="shared" si="4"/>
        <v>0</v>
      </c>
      <c r="P29" s="243"/>
    </row>
    <row r="30" spans="2:16">
      <c r="B30" s="160" t="str">
        <f t="shared" si="5"/>
        <v/>
      </c>
      <c r="C30" s="472">
        <f>IF(D11="","-",+C29+1)</f>
        <v>2024</v>
      </c>
      <c r="D30" s="485">
        <f>IF(F29+SUM(E$17:E29)=D$10,F29,D$10-SUM(E$17:E29))</f>
        <v>1108531.8754695866</v>
      </c>
      <c r="E30" s="484">
        <f>IF(+I14&lt;F29,I14,D30)</f>
        <v>35564.833333333336</v>
      </c>
      <c r="F30" s="485">
        <f t="shared" si="18"/>
        <v>1072967.0421362533</v>
      </c>
      <c r="G30" s="486">
        <f t="shared" si="19"/>
        <v>153159.89135046181</v>
      </c>
      <c r="H30" s="455">
        <f t="shared" si="20"/>
        <v>153159.89135046181</v>
      </c>
      <c r="I30" s="475">
        <f t="shared" si="6"/>
        <v>0</v>
      </c>
      <c r="J30" s="475"/>
      <c r="K30" s="487"/>
      <c r="L30" s="478">
        <f t="shared" si="1"/>
        <v>0</v>
      </c>
      <c r="M30" s="487"/>
      <c r="N30" s="478">
        <f t="shared" si="3"/>
        <v>0</v>
      </c>
      <c r="O30" s="478">
        <f t="shared" si="4"/>
        <v>0</v>
      </c>
      <c r="P30" s="243"/>
    </row>
    <row r="31" spans="2:16">
      <c r="B31" s="160" t="str">
        <f t="shared" si="5"/>
        <v/>
      </c>
      <c r="C31" s="472">
        <f>IF(D11="","-",+C30+1)</f>
        <v>2025</v>
      </c>
      <c r="D31" s="485">
        <f>IF(F30+SUM(E$17:E30)=D$10,F30,D$10-SUM(E$17:E30))</f>
        <v>1072967.0421362533</v>
      </c>
      <c r="E31" s="484">
        <f>IF(+I14&lt;F30,I14,D31)</f>
        <v>35564.833333333336</v>
      </c>
      <c r="F31" s="485">
        <f t="shared" si="18"/>
        <v>1037402.20880292</v>
      </c>
      <c r="G31" s="486">
        <f t="shared" si="19"/>
        <v>149325.60236186787</v>
      </c>
      <c r="H31" s="455">
        <f t="shared" si="20"/>
        <v>149325.60236186787</v>
      </c>
      <c r="I31" s="475">
        <f t="shared" si="6"/>
        <v>0</v>
      </c>
      <c r="J31" s="475"/>
      <c r="K31" s="487"/>
      <c r="L31" s="478">
        <f t="shared" si="1"/>
        <v>0</v>
      </c>
      <c r="M31" s="487"/>
      <c r="N31" s="478">
        <f t="shared" si="3"/>
        <v>0</v>
      </c>
      <c r="O31" s="478">
        <f t="shared" si="4"/>
        <v>0</v>
      </c>
      <c r="P31" s="243"/>
    </row>
    <row r="32" spans="2:16">
      <c r="B32" s="160" t="str">
        <f t="shared" si="5"/>
        <v/>
      </c>
      <c r="C32" s="472">
        <f>IF(D11="","-",+C31+1)</f>
        <v>2026</v>
      </c>
      <c r="D32" s="485">
        <f>IF(F31+SUM(E$17:E31)=D$10,F31,D$10-SUM(E$17:E31))</f>
        <v>1037402.20880292</v>
      </c>
      <c r="E32" s="484">
        <f>IF(+I14&lt;F31,I14,D32)</f>
        <v>35564.833333333336</v>
      </c>
      <c r="F32" s="485">
        <f t="shared" si="18"/>
        <v>1001837.3754695866</v>
      </c>
      <c r="G32" s="486">
        <f t="shared" si="19"/>
        <v>145491.31337327394</v>
      </c>
      <c r="H32" s="455">
        <f t="shared" si="20"/>
        <v>145491.31337327394</v>
      </c>
      <c r="I32" s="475">
        <f t="shared" si="6"/>
        <v>0</v>
      </c>
      <c r="J32" s="475"/>
      <c r="K32" s="487"/>
      <c r="L32" s="478">
        <f t="shared" si="1"/>
        <v>0</v>
      </c>
      <c r="M32" s="487"/>
      <c r="N32" s="478">
        <f t="shared" si="3"/>
        <v>0</v>
      </c>
      <c r="O32" s="478">
        <f t="shared" si="4"/>
        <v>0</v>
      </c>
      <c r="P32" s="243"/>
    </row>
    <row r="33" spans="2:16">
      <c r="B33" s="160" t="str">
        <f t="shared" si="5"/>
        <v/>
      </c>
      <c r="C33" s="472">
        <f>IF(D11="","-",+C32+1)</f>
        <v>2027</v>
      </c>
      <c r="D33" s="485">
        <f>IF(F32+SUM(E$17:E32)=D$10,F32,D$10-SUM(E$17:E32))</f>
        <v>1001837.3754695866</v>
      </c>
      <c r="E33" s="484">
        <f>IF(+I14&lt;F32,I14,D33)</f>
        <v>35564.833333333336</v>
      </c>
      <c r="F33" s="485">
        <f t="shared" si="18"/>
        <v>966272.54213625321</v>
      </c>
      <c r="G33" s="486">
        <f t="shared" si="19"/>
        <v>141657.02438468</v>
      </c>
      <c r="H33" s="455">
        <f t="shared" si="20"/>
        <v>141657.02438468</v>
      </c>
      <c r="I33" s="475">
        <f t="shared" si="6"/>
        <v>0</v>
      </c>
      <c r="J33" s="475"/>
      <c r="K33" s="487"/>
      <c r="L33" s="478">
        <f t="shared" si="1"/>
        <v>0</v>
      </c>
      <c r="M33" s="487"/>
      <c r="N33" s="478">
        <f t="shared" si="3"/>
        <v>0</v>
      </c>
      <c r="O33" s="478">
        <f t="shared" si="4"/>
        <v>0</v>
      </c>
      <c r="P33" s="243"/>
    </row>
    <row r="34" spans="2:16">
      <c r="B34" s="160" t="str">
        <f t="shared" si="5"/>
        <v/>
      </c>
      <c r="C34" s="472">
        <f>IF(D11="","-",+C33+1)</f>
        <v>2028</v>
      </c>
      <c r="D34" s="485">
        <f>IF(F33+SUM(E$17:E33)=D$10,F33,D$10-SUM(E$17:E33))</f>
        <v>966272.54213625321</v>
      </c>
      <c r="E34" s="484">
        <f>IF(+I14&lt;F33,I14,D34)</f>
        <v>35564.833333333336</v>
      </c>
      <c r="F34" s="485">
        <f t="shared" si="18"/>
        <v>930707.70880291983</v>
      </c>
      <c r="G34" s="486">
        <f t="shared" si="19"/>
        <v>137822.73539608606</v>
      </c>
      <c r="H34" s="455">
        <f t="shared" si="20"/>
        <v>137822.73539608606</v>
      </c>
      <c r="I34" s="475">
        <f t="shared" si="6"/>
        <v>0</v>
      </c>
      <c r="J34" s="475"/>
      <c r="K34" s="487"/>
      <c r="L34" s="478">
        <f t="shared" si="1"/>
        <v>0</v>
      </c>
      <c r="M34" s="487"/>
      <c r="N34" s="478">
        <f t="shared" si="3"/>
        <v>0</v>
      </c>
      <c r="O34" s="478">
        <f t="shared" si="4"/>
        <v>0</v>
      </c>
      <c r="P34" s="243"/>
    </row>
    <row r="35" spans="2:16">
      <c r="B35" s="160" t="str">
        <f t="shared" si="5"/>
        <v/>
      </c>
      <c r="C35" s="472">
        <f>IF(D11="","-",+C34+1)</f>
        <v>2029</v>
      </c>
      <c r="D35" s="485">
        <f>IF(F34+SUM(E$17:E34)=D$10,F34,D$10-SUM(E$17:E34))</f>
        <v>930707.70880291983</v>
      </c>
      <c r="E35" s="484">
        <f>IF(+I14&lt;F34,I14,D35)</f>
        <v>35564.833333333336</v>
      </c>
      <c r="F35" s="485">
        <f t="shared" si="18"/>
        <v>895142.87546958646</v>
      </c>
      <c r="G35" s="486">
        <f t="shared" si="19"/>
        <v>133988.4464074921</v>
      </c>
      <c r="H35" s="455">
        <f t="shared" si="20"/>
        <v>133988.4464074921</v>
      </c>
      <c r="I35" s="475">
        <f t="shared" si="6"/>
        <v>0</v>
      </c>
      <c r="J35" s="475"/>
      <c r="K35" s="487"/>
      <c r="L35" s="478">
        <f t="shared" si="1"/>
        <v>0</v>
      </c>
      <c r="M35" s="487"/>
      <c r="N35" s="478">
        <f t="shared" si="3"/>
        <v>0</v>
      </c>
      <c r="O35" s="478">
        <f t="shared" si="4"/>
        <v>0</v>
      </c>
      <c r="P35" s="243"/>
    </row>
    <row r="36" spans="2:16">
      <c r="B36" s="160" t="str">
        <f t="shared" si="5"/>
        <v/>
      </c>
      <c r="C36" s="472">
        <f>IF(D11="","-",+C35+1)</f>
        <v>2030</v>
      </c>
      <c r="D36" s="485">
        <f>IF(F35+SUM(E$17:E35)=D$10,F35,D$10-SUM(E$17:E35))</f>
        <v>895142.87546958646</v>
      </c>
      <c r="E36" s="484">
        <f>IF(+I14&lt;F35,I14,D36)</f>
        <v>35564.833333333336</v>
      </c>
      <c r="F36" s="485">
        <f t="shared" si="18"/>
        <v>859578.04213625309</v>
      </c>
      <c r="G36" s="486">
        <f t="shared" si="19"/>
        <v>130154.15741889816</v>
      </c>
      <c r="H36" s="455">
        <f t="shared" si="20"/>
        <v>130154.15741889816</v>
      </c>
      <c r="I36" s="475">
        <f t="shared" si="6"/>
        <v>0</v>
      </c>
      <c r="J36" s="475"/>
      <c r="K36" s="487"/>
      <c r="L36" s="478">
        <f t="shared" si="1"/>
        <v>0</v>
      </c>
      <c r="M36" s="487"/>
      <c r="N36" s="478">
        <f t="shared" si="3"/>
        <v>0</v>
      </c>
      <c r="O36" s="478">
        <f t="shared" si="4"/>
        <v>0</v>
      </c>
      <c r="P36" s="243"/>
    </row>
    <row r="37" spans="2:16">
      <c r="B37" s="160" t="str">
        <f t="shared" si="5"/>
        <v/>
      </c>
      <c r="C37" s="472">
        <f>IF(D11="","-",+C36+1)</f>
        <v>2031</v>
      </c>
      <c r="D37" s="485">
        <f>IF(F36+SUM(E$17:E36)=D$10,F36,D$10-SUM(E$17:E36))</f>
        <v>859578.04213625309</v>
      </c>
      <c r="E37" s="484">
        <f>IF(+I14&lt;F36,I14,D37)</f>
        <v>35564.833333333336</v>
      </c>
      <c r="F37" s="485">
        <f t="shared" si="18"/>
        <v>824013.20880291972</v>
      </c>
      <c r="G37" s="486">
        <f t="shared" si="19"/>
        <v>126319.8684303042</v>
      </c>
      <c r="H37" s="455">
        <f t="shared" si="20"/>
        <v>126319.8684303042</v>
      </c>
      <c r="I37" s="475">
        <f t="shared" si="6"/>
        <v>0</v>
      </c>
      <c r="J37" s="475"/>
      <c r="K37" s="487"/>
      <c r="L37" s="478">
        <f t="shared" si="1"/>
        <v>0</v>
      </c>
      <c r="M37" s="487"/>
      <c r="N37" s="478">
        <f t="shared" si="3"/>
        <v>0</v>
      </c>
      <c r="O37" s="478">
        <f t="shared" si="4"/>
        <v>0</v>
      </c>
      <c r="P37" s="243"/>
    </row>
    <row r="38" spans="2:16">
      <c r="B38" s="160" t="str">
        <f t="shared" si="5"/>
        <v/>
      </c>
      <c r="C38" s="472">
        <f>IF(D11="","-",+C37+1)</f>
        <v>2032</v>
      </c>
      <c r="D38" s="485">
        <f>IF(F37+SUM(E$17:E37)=D$10,F37,D$10-SUM(E$17:E37))</f>
        <v>824013.20880291972</v>
      </c>
      <c r="E38" s="484">
        <f>IF(+I14&lt;F37,I14,D38)</f>
        <v>35564.833333333336</v>
      </c>
      <c r="F38" s="485">
        <f t="shared" si="18"/>
        <v>788448.37546958635</v>
      </c>
      <c r="G38" s="486">
        <f t="shared" si="19"/>
        <v>122485.57944171026</v>
      </c>
      <c r="H38" s="455">
        <f t="shared" si="20"/>
        <v>122485.57944171026</v>
      </c>
      <c r="I38" s="475">
        <f t="shared" si="6"/>
        <v>0</v>
      </c>
      <c r="J38" s="475"/>
      <c r="K38" s="487"/>
      <c r="L38" s="478">
        <f t="shared" si="1"/>
        <v>0</v>
      </c>
      <c r="M38" s="487"/>
      <c r="N38" s="478">
        <f t="shared" si="3"/>
        <v>0</v>
      </c>
      <c r="O38" s="478">
        <f t="shared" si="4"/>
        <v>0</v>
      </c>
      <c r="P38" s="243"/>
    </row>
    <row r="39" spans="2:16">
      <c r="B39" s="160" t="str">
        <f t="shared" si="5"/>
        <v/>
      </c>
      <c r="C39" s="472">
        <f>IF(D11="","-",+C38+1)</f>
        <v>2033</v>
      </c>
      <c r="D39" s="485">
        <f>IF(F38+SUM(E$17:E38)=D$10,F38,D$10-SUM(E$17:E38))</f>
        <v>788448.37546958635</v>
      </c>
      <c r="E39" s="484">
        <f>IF(+I14&lt;F38,I14,D39)</f>
        <v>35564.833333333336</v>
      </c>
      <c r="F39" s="485">
        <f t="shared" si="18"/>
        <v>752883.54213625297</v>
      </c>
      <c r="G39" s="486">
        <f t="shared" si="19"/>
        <v>118651.29045311629</v>
      </c>
      <c r="H39" s="455">
        <f t="shared" si="20"/>
        <v>118651.29045311629</v>
      </c>
      <c r="I39" s="475">
        <f t="shared" si="6"/>
        <v>0</v>
      </c>
      <c r="J39" s="475"/>
      <c r="K39" s="487"/>
      <c r="L39" s="478">
        <f t="shared" si="1"/>
        <v>0</v>
      </c>
      <c r="M39" s="487"/>
      <c r="N39" s="478">
        <f t="shared" si="3"/>
        <v>0</v>
      </c>
      <c r="O39" s="478">
        <f t="shared" si="4"/>
        <v>0</v>
      </c>
      <c r="P39" s="243"/>
    </row>
    <row r="40" spans="2:16">
      <c r="B40" s="160" t="str">
        <f t="shared" si="5"/>
        <v/>
      </c>
      <c r="C40" s="472">
        <f>IF(D11="","-",+C39+1)</f>
        <v>2034</v>
      </c>
      <c r="D40" s="485">
        <f>IF(F39+SUM(E$17:E39)=D$10,F39,D$10-SUM(E$17:E39))</f>
        <v>752883.54213625297</v>
      </c>
      <c r="E40" s="484">
        <f>IF(+I14&lt;F39,I14,D40)</f>
        <v>35564.833333333336</v>
      </c>
      <c r="F40" s="485">
        <f t="shared" si="18"/>
        <v>717318.7088029196</v>
      </c>
      <c r="G40" s="486">
        <f t="shared" si="19"/>
        <v>114817.00146452239</v>
      </c>
      <c r="H40" s="455">
        <f t="shared" si="20"/>
        <v>114817.00146452239</v>
      </c>
      <c r="I40" s="475">
        <f t="shared" si="6"/>
        <v>0</v>
      </c>
      <c r="J40" s="475"/>
      <c r="K40" s="487"/>
      <c r="L40" s="478">
        <f t="shared" si="1"/>
        <v>0</v>
      </c>
      <c r="M40" s="487"/>
      <c r="N40" s="478">
        <f t="shared" si="3"/>
        <v>0</v>
      </c>
      <c r="O40" s="478">
        <f t="shared" si="4"/>
        <v>0</v>
      </c>
      <c r="P40" s="243"/>
    </row>
    <row r="41" spans="2:16">
      <c r="B41" s="160" t="str">
        <f t="shared" si="5"/>
        <v/>
      </c>
      <c r="C41" s="472">
        <f>IF(D11="","-",+C40+1)</f>
        <v>2035</v>
      </c>
      <c r="D41" s="485">
        <f>IF(F40+SUM(E$17:E40)=D$10,F40,D$10-SUM(E$17:E40))</f>
        <v>717318.7088029196</v>
      </c>
      <c r="E41" s="484">
        <f>IF(+I14&lt;F40,I14,D41)</f>
        <v>35564.833333333336</v>
      </c>
      <c r="F41" s="485">
        <f t="shared" si="18"/>
        <v>681753.87546958623</v>
      </c>
      <c r="G41" s="486">
        <f t="shared" si="19"/>
        <v>110982.71247592842</v>
      </c>
      <c r="H41" s="455">
        <f t="shared" si="20"/>
        <v>110982.71247592842</v>
      </c>
      <c r="I41" s="475">
        <f t="shared" si="6"/>
        <v>0</v>
      </c>
      <c r="J41" s="475"/>
      <c r="K41" s="487"/>
      <c r="L41" s="478">
        <f t="shared" si="1"/>
        <v>0</v>
      </c>
      <c r="M41" s="487"/>
      <c r="N41" s="478">
        <f t="shared" si="3"/>
        <v>0</v>
      </c>
      <c r="O41" s="478">
        <f t="shared" si="4"/>
        <v>0</v>
      </c>
      <c r="P41" s="243"/>
    </row>
    <row r="42" spans="2:16">
      <c r="B42" s="160" t="str">
        <f t="shared" si="5"/>
        <v/>
      </c>
      <c r="C42" s="472">
        <f>IF(D11="","-",+C41+1)</f>
        <v>2036</v>
      </c>
      <c r="D42" s="485">
        <f>IF(F41+SUM(E$17:E41)=D$10,F41,D$10-SUM(E$17:E41))</f>
        <v>681753.87546958623</v>
      </c>
      <c r="E42" s="484">
        <f>IF(+I14&lt;F41,I14,D42)</f>
        <v>35564.833333333336</v>
      </c>
      <c r="F42" s="485">
        <f t="shared" si="18"/>
        <v>646189.04213625286</v>
      </c>
      <c r="G42" s="486">
        <f t="shared" si="19"/>
        <v>107148.42348733448</v>
      </c>
      <c r="H42" s="455">
        <f t="shared" si="20"/>
        <v>107148.42348733448</v>
      </c>
      <c r="I42" s="475">
        <f t="shared" si="6"/>
        <v>0</v>
      </c>
      <c r="J42" s="475"/>
      <c r="K42" s="487"/>
      <c r="L42" s="478">
        <f t="shared" si="1"/>
        <v>0</v>
      </c>
      <c r="M42" s="487"/>
      <c r="N42" s="478">
        <f t="shared" si="3"/>
        <v>0</v>
      </c>
      <c r="O42" s="478">
        <f t="shared" si="4"/>
        <v>0</v>
      </c>
      <c r="P42" s="243"/>
    </row>
    <row r="43" spans="2:16">
      <c r="B43" s="160" t="str">
        <f t="shared" si="5"/>
        <v/>
      </c>
      <c r="C43" s="472">
        <f>IF(D11="","-",+C42+1)</f>
        <v>2037</v>
      </c>
      <c r="D43" s="485">
        <f>IF(F42+SUM(E$17:E42)=D$10,F42,D$10-SUM(E$17:E42))</f>
        <v>646189.04213625286</v>
      </c>
      <c r="E43" s="484">
        <f>IF(+I14&lt;F42,I14,D43)</f>
        <v>35564.833333333336</v>
      </c>
      <c r="F43" s="485">
        <f t="shared" si="18"/>
        <v>610624.20880291949</v>
      </c>
      <c r="G43" s="486">
        <f t="shared" si="19"/>
        <v>103314.13449874052</v>
      </c>
      <c r="H43" s="455">
        <f t="shared" si="20"/>
        <v>103314.13449874052</v>
      </c>
      <c r="I43" s="475">
        <f t="shared" si="6"/>
        <v>0</v>
      </c>
      <c r="J43" s="475"/>
      <c r="K43" s="487"/>
      <c r="L43" s="478">
        <f t="shared" si="1"/>
        <v>0</v>
      </c>
      <c r="M43" s="487"/>
      <c r="N43" s="478">
        <f t="shared" si="3"/>
        <v>0</v>
      </c>
      <c r="O43" s="478">
        <f t="shared" si="4"/>
        <v>0</v>
      </c>
      <c r="P43" s="243"/>
    </row>
    <row r="44" spans="2:16">
      <c r="B44" s="160" t="str">
        <f t="shared" si="5"/>
        <v/>
      </c>
      <c r="C44" s="472">
        <f>IF(D11="","-",+C43+1)</f>
        <v>2038</v>
      </c>
      <c r="D44" s="485">
        <f>IF(F43+SUM(E$17:E43)=D$10,F43,D$10-SUM(E$17:E43))</f>
        <v>610624.20880291949</v>
      </c>
      <c r="E44" s="484">
        <f>IF(+I14&lt;F43,I14,D44)</f>
        <v>35564.833333333336</v>
      </c>
      <c r="F44" s="485">
        <f t="shared" si="18"/>
        <v>575059.37546958611</v>
      </c>
      <c r="G44" s="486">
        <f t="shared" si="19"/>
        <v>99479.845510146581</v>
      </c>
      <c r="H44" s="455">
        <f t="shared" si="20"/>
        <v>99479.845510146581</v>
      </c>
      <c r="I44" s="475">
        <f t="shared" si="6"/>
        <v>0</v>
      </c>
      <c r="J44" s="475"/>
      <c r="K44" s="487"/>
      <c r="L44" s="478">
        <f t="shared" si="1"/>
        <v>0</v>
      </c>
      <c r="M44" s="487"/>
      <c r="N44" s="478">
        <f t="shared" si="3"/>
        <v>0</v>
      </c>
      <c r="O44" s="478">
        <f t="shared" si="4"/>
        <v>0</v>
      </c>
      <c r="P44" s="243"/>
    </row>
    <row r="45" spans="2:16">
      <c r="B45" s="160" t="str">
        <f t="shared" si="5"/>
        <v/>
      </c>
      <c r="C45" s="472">
        <f>IF(D11="","-",+C44+1)</f>
        <v>2039</v>
      </c>
      <c r="D45" s="485">
        <f>IF(F44+SUM(E$17:E44)=D$10,F44,D$10-SUM(E$17:E44))</f>
        <v>575059.37546958611</v>
      </c>
      <c r="E45" s="484">
        <f>IF(+I14&lt;F44,I14,D45)</f>
        <v>35564.833333333336</v>
      </c>
      <c r="F45" s="485">
        <f t="shared" si="18"/>
        <v>539494.54213625274</v>
      </c>
      <c r="G45" s="486">
        <f t="shared" si="19"/>
        <v>95645.556521552615</v>
      </c>
      <c r="H45" s="455">
        <f t="shared" si="20"/>
        <v>95645.556521552615</v>
      </c>
      <c r="I45" s="475">
        <f t="shared" si="6"/>
        <v>0</v>
      </c>
      <c r="J45" s="475"/>
      <c r="K45" s="487"/>
      <c r="L45" s="478">
        <f t="shared" si="1"/>
        <v>0</v>
      </c>
      <c r="M45" s="487"/>
      <c r="N45" s="478">
        <f t="shared" si="3"/>
        <v>0</v>
      </c>
      <c r="O45" s="478">
        <f t="shared" si="4"/>
        <v>0</v>
      </c>
      <c r="P45" s="243"/>
    </row>
    <row r="46" spans="2:16">
      <c r="B46" s="160" t="str">
        <f t="shared" si="5"/>
        <v/>
      </c>
      <c r="C46" s="472">
        <f>IF(D11="","-",+C45+1)</f>
        <v>2040</v>
      </c>
      <c r="D46" s="485">
        <f>IF(F45+SUM(E$17:E45)=D$10,F45,D$10-SUM(E$17:E45))</f>
        <v>539494.54213625274</v>
      </c>
      <c r="E46" s="484">
        <f>IF(+I14&lt;F45,I14,D46)</f>
        <v>35564.833333333336</v>
      </c>
      <c r="F46" s="485">
        <f t="shared" si="18"/>
        <v>503929.70880291943</v>
      </c>
      <c r="G46" s="486">
        <f t="shared" si="19"/>
        <v>91811.267532958678</v>
      </c>
      <c r="H46" s="455">
        <f t="shared" si="20"/>
        <v>91811.267532958678</v>
      </c>
      <c r="I46" s="475">
        <f t="shared" si="6"/>
        <v>0</v>
      </c>
      <c r="J46" s="475"/>
      <c r="K46" s="487"/>
      <c r="L46" s="478">
        <f t="shared" si="1"/>
        <v>0</v>
      </c>
      <c r="M46" s="487"/>
      <c r="N46" s="478">
        <f t="shared" si="3"/>
        <v>0</v>
      </c>
      <c r="O46" s="478">
        <f t="shared" si="4"/>
        <v>0</v>
      </c>
      <c r="P46" s="243"/>
    </row>
    <row r="47" spans="2:16">
      <c r="B47" s="160" t="str">
        <f t="shared" si="5"/>
        <v/>
      </c>
      <c r="C47" s="472">
        <f>IF(D11="","-",+C46+1)</f>
        <v>2041</v>
      </c>
      <c r="D47" s="485">
        <f>IF(F46+SUM(E$17:E46)=D$10,F46,D$10-SUM(E$17:E46))</f>
        <v>503929.70880291943</v>
      </c>
      <c r="E47" s="484">
        <f>IF(+I14&lt;F46,I14,D47)</f>
        <v>35564.833333333336</v>
      </c>
      <c r="F47" s="485">
        <f t="shared" si="18"/>
        <v>468364.87546958611</v>
      </c>
      <c r="G47" s="486">
        <f t="shared" si="19"/>
        <v>87976.978544364742</v>
      </c>
      <c r="H47" s="455">
        <f t="shared" si="20"/>
        <v>87976.978544364742</v>
      </c>
      <c r="I47" s="475">
        <f t="shared" si="6"/>
        <v>0</v>
      </c>
      <c r="J47" s="475"/>
      <c r="K47" s="487"/>
      <c r="L47" s="478">
        <f t="shared" si="1"/>
        <v>0</v>
      </c>
      <c r="M47" s="487"/>
      <c r="N47" s="478">
        <f t="shared" si="3"/>
        <v>0</v>
      </c>
      <c r="O47" s="478">
        <f t="shared" si="4"/>
        <v>0</v>
      </c>
      <c r="P47" s="243"/>
    </row>
    <row r="48" spans="2:16">
      <c r="B48" s="160" t="str">
        <f t="shared" si="5"/>
        <v/>
      </c>
      <c r="C48" s="472">
        <f>IF(D11="","-",+C47+1)</f>
        <v>2042</v>
      </c>
      <c r="D48" s="485">
        <f>IF(F47+SUM(E$17:E47)=D$10,F47,D$10-SUM(E$17:E47))</f>
        <v>468364.87546958611</v>
      </c>
      <c r="E48" s="484">
        <f>IF(+I14&lt;F47,I14,D48)</f>
        <v>35564.833333333336</v>
      </c>
      <c r="F48" s="485">
        <f t="shared" si="18"/>
        <v>432800.0421362528</v>
      </c>
      <c r="G48" s="486">
        <f t="shared" si="19"/>
        <v>84142.689555770805</v>
      </c>
      <c r="H48" s="455">
        <f t="shared" si="20"/>
        <v>84142.689555770805</v>
      </c>
      <c r="I48" s="475">
        <f t="shared" si="6"/>
        <v>0</v>
      </c>
      <c r="J48" s="475"/>
      <c r="K48" s="487"/>
      <c r="L48" s="478">
        <f t="shared" si="1"/>
        <v>0</v>
      </c>
      <c r="M48" s="487"/>
      <c r="N48" s="478">
        <f t="shared" si="3"/>
        <v>0</v>
      </c>
      <c r="O48" s="478">
        <f t="shared" si="4"/>
        <v>0</v>
      </c>
      <c r="P48" s="243"/>
    </row>
    <row r="49" spans="2:16">
      <c r="B49" s="160" t="str">
        <f t="shared" si="5"/>
        <v/>
      </c>
      <c r="C49" s="472">
        <f>IF(D11="","-",+C48+1)</f>
        <v>2043</v>
      </c>
      <c r="D49" s="485">
        <f>IF(F48+SUM(E$17:E48)=D$10,F48,D$10-SUM(E$17:E48))</f>
        <v>432800.0421362528</v>
      </c>
      <c r="E49" s="484">
        <f>IF(+I14&lt;F48,I14,D49)</f>
        <v>35564.833333333336</v>
      </c>
      <c r="F49" s="485">
        <f t="shared" si="18"/>
        <v>397235.20880291949</v>
      </c>
      <c r="G49" s="486">
        <f t="shared" si="19"/>
        <v>80308.400567176868</v>
      </c>
      <c r="H49" s="455">
        <f t="shared" si="20"/>
        <v>80308.400567176868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ref="B50:B72" si="25">IF(D50=F49,"","IU")</f>
        <v/>
      </c>
      <c r="C50" s="472">
        <f>IF(D11="","-",+C49+1)</f>
        <v>2044</v>
      </c>
      <c r="D50" s="485">
        <f>IF(F49+SUM(E$17:E49)=D$10,F49,D$10-SUM(E$17:E49))</f>
        <v>397235.20880291949</v>
      </c>
      <c r="E50" s="484">
        <f>IF(+I14&lt;F49,I14,D50)</f>
        <v>35564.833333333336</v>
      </c>
      <c r="F50" s="485">
        <f t="shared" ref="F50:F72" si="26">+D50-E50</f>
        <v>361670.37546958617</v>
      </c>
      <c r="G50" s="486">
        <f t="shared" si="19"/>
        <v>76474.111578582932</v>
      </c>
      <c r="H50" s="455">
        <f t="shared" si="20"/>
        <v>76474.111578582932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25"/>
        <v/>
      </c>
      <c r="C51" s="472">
        <f>IF(D11="","-",+C50+1)</f>
        <v>2045</v>
      </c>
      <c r="D51" s="485">
        <f>IF(F50+SUM(E$17:E50)=D$10,F50,D$10-SUM(E$17:E50))</f>
        <v>361670.37546958617</v>
      </c>
      <c r="E51" s="484">
        <f>IF(+I14&lt;F50,I14,D51)</f>
        <v>35564.833333333336</v>
      </c>
      <c r="F51" s="485">
        <f t="shared" si="26"/>
        <v>326105.54213625286</v>
      </c>
      <c r="G51" s="486">
        <f t="shared" si="19"/>
        <v>72639.822589988966</v>
      </c>
      <c r="H51" s="455">
        <f t="shared" si="20"/>
        <v>72639.822589988966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25"/>
        <v/>
      </c>
      <c r="C52" s="472">
        <f>IF(D11="","-",+C51+1)</f>
        <v>2046</v>
      </c>
      <c r="D52" s="485">
        <f>IF(F51+SUM(E$17:E51)=D$10,F51,D$10-SUM(E$17:E51))</f>
        <v>326105.54213625286</v>
      </c>
      <c r="E52" s="484">
        <f>IF(+I14&lt;F51,I14,D52)</f>
        <v>35564.833333333336</v>
      </c>
      <c r="F52" s="485">
        <f t="shared" si="26"/>
        <v>290540.70880291954</v>
      </c>
      <c r="G52" s="486">
        <f t="shared" si="19"/>
        <v>68805.533601395044</v>
      </c>
      <c r="H52" s="455">
        <f t="shared" si="20"/>
        <v>68805.533601395044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25"/>
        <v/>
      </c>
      <c r="C53" s="472">
        <f>IF(D11="","-",+C52+1)</f>
        <v>2047</v>
      </c>
      <c r="D53" s="485">
        <f>IF(F52+SUM(E$17:E52)=D$10,F52,D$10-SUM(E$17:E52))</f>
        <v>290540.70880291954</v>
      </c>
      <c r="E53" s="484">
        <f>IF(+I14&lt;F52,I14,D53)</f>
        <v>35564.833333333336</v>
      </c>
      <c r="F53" s="485">
        <f t="shared" si="26"/>
        <v>254975.8754695862</v>
      </c>
      <c r="G53" s="486">
        <f t="shared" si="19"/>
        <v>64971.244612801092</v>
      </c>
      <c r="H53" s="455">
        <f t="shared" si="20"/>
        <v>64971.244612801092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25"/>
        <v/>
      </c>
      <c r="C54" s="472">
        <f>IF(D11="","-",+C53+1)</f>
        <v>2048</v>
      </c>
      <c r="D54" s="485">
        <f>IF(F53+SUM(E$17:E53)=D$10,F53,D$10-SUM(E$17:E53))</f>
        <v>254975.8754695862</v>
      </c>
      <c r="E54" s="484">
        <f>IF(+I14&lt;F53,I14,D54)</f>
        <v>35564.833333333336</v>
      </c>
      <c r="F54" s="485">
        <f t="shared" si="26"/>
        <v>219411.04213625286</v>
      </c>
      <c r="G54" s="486">
        <f t="shared" si="19"/>
        <v>61136.955624207156</v>
      </c>
      <c r="H54" s="455">
        <f t="shared" si="20"/>
        <v>61136.955624207156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25"/>
        <v/>
      </c>
      <c r="C55" s="472">
        <f>IF(D11="","-",+C54+1)</f>
        <v>2049</v>
      </c>
      <c r="D55" s="485">
        <f>IF(F54+SUM(E$17:E54)=D$10,F54,D$10-SUM(E$17:E54))</f>
        <v>219411.04213625286</v>
      </c>
      <c r="E55" s="484">
        <f>IF(+I14&lt;F54,I14,D55)</f>
        <v>35564.833333333336</v>
      </c>
      <c r="F55" s="485">
        <f t="shared" si="26"/>
        <v>183846.20880291951</v>
      </c>
      <c r="G55" s="486">
        <f t="shared" si="19"/>
        <v>57302.666635613205</v>
      </c>
      <c r="H55" s="455">
        <f t="shared" si="20"/>
        <v>57302.666635613205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25"/>
        <v/>
      </c>
      <c r="C56" s="472">
        <f>IF(D11="","-",+C55+1)</f>
        <v>2050</v>
      </c>
      <c r="D56" s="485">
        <f>IF(F55+SUM(E$17:E55)=D$10,F55,D$10-SUM(E$17:E55))</f>
        <v>183846.20880291951</v>
      </c>
      <c r="E56" s="484">
        <f>IF(+I14&lt;F55,I14,D56)</f>
        <v>35564.833333333336</v>
      </c>
      <c r="F56" s="485">
        <f t="shared" si="26"/>
        <v>148281.37546958617</v>
      </c>
      <c r="G56" s="486">
        <f t="shared" si="19"/>
        <v>53468.377647019268</v>
      </c>
      <c r="H56" s="455">
        <f t="shared" si="20"/>
        <v>53468.377647019268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25"/>
        <v/>
      </c>
      <c r="C57" s="472">
        <f>IF(D11="","-",+C56+1)</f>
        <v>2051</v>
      </c>
      <c r="D57" s="485">
        <f>IF(F56+SUM(E$17:E56)=D$10,F56,D$10-SUM(E$17:E56))</f>
        <v>148281.37546958617</v>
      </c>
      <c r="E57" s="484">
        <f>IF(+I14&lt;F56,I14,D57)</f>
        <v>35564.833333333336</v>
      </c>
      <c r="F57" s="485">
        <f t="shared" si="26"/>
        <v>112716.54213625283</v>
      </c>
      <c r="G57" s="486">
        <f t="shared" si="19"/>
        <v>49634.088658425317</v>
      </c>
      <c r="H57" s="455">
        <f t="shared" si="20"/>
        <v>49634.088658425317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25"/>
        <v/>
      </c>
      <c r="C58" s="472">
        <f>IF(D11="","-",+C57+1)</f>
        <v>2052</v>
      </c>
      <c r="D58" s="485">
        <f>IF(F57+SUM(E$17:E57)=D$10,F57,D$10-SUM(E$17:E57))</f>
        <v>112716.54213625283</v>
      </c>
      <c r="E58" s="484">
        <f>IF(+I14&lt;F57,I14,D58)</f>
        <v>35564.833333333336</v>
      </c>
      <c r="F58" s="485">
        <f t="shared" si="26"/>
        <v>77151.708802919486</v>
      </c>
      <c r="G58" s="486">
        <f t="shared" si="19"/>
        <v>45799.799669831373</v>
      </c>
      <c r="H58" s="455">
        <f t="shared" si="20"/>
        <v>45799.799669831373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25"/>
        <v/>
      </c>
      <c r="C59" s="472">
        <f>IF(D11="","-",+C58+1)</f>
        <v>2053</v>
      </c>
      <c r="D59" s="485">
        <f>IF(F58+SUM(E$17:E58)=D$10,F58,D$10-SUM(E$17:E58))</f>
        <v>77151.708802919486</v>
      </c>
      <c r="E59" s="484">
        <f>IF(+I14&lt;F58,I14,D59)</f>
        <v>35564.833333333336</v>
      </c>
      <c r="F59" s="485">
        <f t="shared" si="26"/>
        <v>41586.87546958615</v>
      </c>
      <c r="G59" s="486">
        <f t="shared" si="19"/>
        <v>41965.510681237429</v>
      </c>
      <c r="H59" s="455">
        <f t="shared" si="20"/>
        <v>41965.510681237429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25"/>
        <v/>
      </c>
      <c r="C60" s="472">
        <f>IF(D11="","-",+C59+1)</f>
        <v>2054</v>
      </c>
      <c r="D60" s="485">
        <f>IF(F59+SUM(E$17:E59)=D$10,F59,D$10-SUM(E$17:E59))</f>
        <v>41586.87546958615</v>
      </c>
      <c r="E60" s="484">
        <f>IF(+I14&lt;F59,I14,D60)</f>
        <v>35564.833333333336</v>
      </c>
      <c r="F60" s="485">
        <f t="shared" si="26"/>
        <v>6022.0421362528141</v>
      </c>
      <c r="G60" s="486">
        <f t="shared" si="19"/>
        <v>38131.221692643485</v>
      </c>
      <c r="H60" s="455">
        <f t="shared" si="20"/>
        <v>38131.221692643485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25"/>
        <v/>
      </c>
      <c r="C61" s="472">
        <f>IF(D11="","-",+C60+1)</f>
        <v>2055</v>
      </c>
      <c r="D61" s="485">
        <f>IF(F60+SUM(E$17:E60)=D$10,F60,D$10-SUM(E$17:E60))</f>
        <v>6022.0421362528141</v>
      </c>
      <c r="E61" s="484">
        <f>IF(+I14&lt;F60,I14,D61)</f>
        <v>6022.0421362528141</v>
      </c>
      <c r="F61" s="485">
        <f t="shared" si="26"/>
        <v>0</v>
      </c>
      <c r="G61" s="486">
        <f t="shared" si="19"/>
        <v>6346.6640687594045</v>
      </c>
      <c r="H61" s="455">
        <f t="shared" si="20"/>
        <v>6346.6640687594045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25"/>
        <v/>
      </c>
      <c r="C62" s="472">
        <f>IF(D11="","-",+C61+1)</f>
        <v>2056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6"/>
        <v>0</v>
      </c>
      <c r="G62" s="486">
        <f t="shared" si="19"/>
        <v>0</v>
      </c>
      <c r="H62" s="455">
        <f t="shared" si="20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160" t="str">
        <f t="shared" si="25"/>
        <v/>
      </c>
      <c r="C63" s="472">
        <f>IF(D11="","-",+C62+1)</f>
        <v>2057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6"/>
        <v>0</v>
      </c>
      <c r="G63" s="486">
        <f t="shared" si="19"/>
        <v>0</v>
      </c>
      <c r="H63" s="455">
        <f t="shared" si="20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25"/>
        <v/>
      </c>
      <c r="C64" s="472">
        <f>IF(D11="","-",+C63+1)</f>
        <v>2058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6"/>
        <v>0</v>
      </c>
      <c r="G64" s="486">
        <f t="shared" si="19"/>
        <v>0</v>
      </c>
      <c r="H64" s="455">
        <f t="shared" si="20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2:16">
      <c r="B65" s="160" t="str">
        <f t="shared" si="25"/>
        <v/>
      </c>
      <c r="C65" s="472">
        <f>IF(D11="","-",+C64+1)</f>
        <v>2059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6"/>
        <v>0</v>
      </c>
      <c r="G65" s="486">
        <f t="shared" si="19"/>
        <v>0</v>
      </c>
      <c r="H65" s="455">
        <f t="shared" si="20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2:16">
      <c r="B66" s="160" t="str">
        <f t="shared" si="25"/>
        <v/>
      </c>
      <c r="C66" s="472">
        <f>IF(D11="","-",+C65+1)</f>
        <v>2060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6"/>
        <v>0</v>
      </c>
      <c r="G66" s="486">
        <f t="shared" si="19"/>
        <v>0</v>
      </c>
      <c r="H66" s="455">
        <f t="shared" si="20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2:16">
      <c r="B67" s="160" t="str">
        <f t="shared" si="25"/>
        <v/>
      </c>
      <c r="C67" s="472">
        <f>IF(D11="","-",+C66+1)</f>
        <v>2061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6"/>
        <v>0</v>
      </c>
      <c r="G67" s="486">
        <f t="shared" si="19"/>
        <v>0</v>
      </c>
      <c r="H67" s="455">
        <f t="shared" si="20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2:16">
      <c r="B68" s="160" t="str">
        <f t="shared" si="25"/>
        <v/>
      </c>
      <c r="C68" s="472">
        <f>IF(D11="","-",+C67+1)</f>
        <v>2062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6"/>
        <v>0</v>
      </c>
      <c r="G68" s="486">
        <f t="shared" si="19"/>
        <v>0</v>
      </c>
      <c r="H68" s="455">
        <f t="shared" si="20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2:16">
      <c r="B69" s="160" t="str">
        <f t="shared" si="25"/>
        <v/>
      </c>
      <c r="C69" s="472">
        <f>IF(D11="","-",+C68+1)</f>
        <v>2063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6"/>
        <v>0</v>
      </c>
      <c r="G69" s="486">
        <f t="shared" si="19"/>
        <v>0</v>
      </c>
      <c r="H69" s="455">
        <f t="shared" si="20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2:16">
      <c r="B70" s="160" t="str">
        <f t="shared" si="25"/>
        <v/>
      </c>
      <c r="C70" s="472">
        <f>IF(D11="","-",+C69+1)</f>
        <v>2064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6"/>
        <v>0</v>
      </c>
      <c r="G70" s="486">
        <f t="shared" si="19"/>
        <v>0</v>
      </c>
      <c r="H70" s="455">
        <f t="shared" si="20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2:16">
      <c r="B71" s="160" t="str">
        <f t="shared" si="25"/>
        <v/>
      </c>
      <c r="C71" s="472">
        <f>IF(D11="","-",+C70+1)</f>
        <v>2065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6"/>
        <v>0</v>
      </c>
      <c r="G71" s="486">
        <f t="shared" si="19"/>
        <v>0</v>
      </c>
      <c r="H71" s="455">
        <f t="shared" si="20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2:16" ht="13.5" thickBot="1">
      <c r="B72" s="160" t="str">
        <f t="shared" si="25"/>
        <v/>
      </c>
      <c r="C72" s="489">
        <f>IF(D11="","-",+C71+1)</f>
        <v>2066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6"/>
        <v>0</v>
      </c>
      <c r="G72" s="490">
        <f t="shared" si="19"/>
        <v>0</v>
      </c>
      <c r="H72" s="490">
        <f t="shared" si="20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2:16">
      <c r="C73" s="347" t="s">
        <v>77</v>
      </c>
      <c r="D73" s="348"/>
      <c r="E73" s="348">
        <f>SUM(E17:E72)</f>
        <v>1493722.9999999991</v>
      </c>
      <c r="F73" s="348"/>
      <c r="G73" s="348">
        <f>SUM(G17:G72)</f>
        <v>5431112.424828805</v>
      </c>
      <c r="H73" s="348">
        <f>SUM(H17:H72)</f>
        <v>5431112.424828805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11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147114.94333333333</v>
      </c>
      <c r="N87" s="508">
        <f>IF(J92&lt;D11,0,VLOOKUP(J92,C17:O72,11))</f>
        <v>147114.94333333333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165502.18998219044</v>
      </c>
      <c r="N88" s="512">
        <f>IF(J92&lt;D11,0,VLOOKUP(J92,C99:P154,7))</f>
        <v>165502.18998219044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Bartlesville SE to Coffeyville T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18387.246648857108</v>
      </c>
      <c r="N89" s="517">
        <f>+N88-N87</f>
        <v>18387.246648857108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TP2008079-PSO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D10</f>
        <v>1493723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38301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2011</v>
      </c>
      <c r="D99" s="473">
        <v>0</v>
      </c>
      <c r="E99" s="480">
        <v>13815</v>
      </c>
      <c r="F99" s="573">
        <v>1422922</v>
      </c>
      <c r="G99" s="537">
        <v>711461</v>
      </c>
      <c r="H99" s="539">
        <v>113286.80836539247</v>
      </c>
      <c r="I99" s="539">
        <v>113286.80836539247</v>
      </c>
      <c r="J99" s="478">
        <f t="shared" ref="J99:J130" si="27">+I99-H99</f>
        <v>0</v>
      </c>
      <c r="K99" s="574"/>
      <c r="L99" s="567">
        <f t="shared" ref="L99:L104" si="28">H99</f>
        <v>113286.80836539247</v>
      </c>
      <c r="M99" s="575">
        <f t="shared" ref="M99:M130" si="29">IF(L99&lt;&gt;0,+H99-L99,0)</f>
        <v>0</v>
      </c>
      <c r="N99" s="567">
        <f t="shared" ref="N99:N104" si="30">I99</f>
        <v>113286.80836539247</v>
      </c>
      <c r="O99" s="477">
        <f t="shared" ref="O99:O130" si="31">IF(N99&lt;&gt;0,+I99-N99,0)</f>
        <v>0</v>
      </c>
      <c r="P99" s="349">
        <f t="shared" ref="P99:P130" si="32">+O99-M99</f>
        <v>0</v>
      </c>
    </row>
    <row r="100" spans="1:16">
      <c r="B100" s="160" t="str">
        <f t="shared" ref="B100:B131" si="33">IF(D100=F99,"","IU")</f>
        <v>IU</v>
      </c>
      <c r="C100" s="472">
        <f>IF(D93="","-",+C99+1)</f>
        <v>2012</v>
      </c>
      <c r="D100" s="473">
        <v>1479908</v>
      </c>
      <c r="E100" s="480">
        <v>28725</v>
      </c>
      <c r="F100" s="573">
        <v>1451183</v>
      </c>
      <c r="G100" s="479">
        <v>1465545.5</v>
      </c>
      <c r="H100" s="539">
        <v>239551.75399863988</v>
      </c>
      <c r="I100" s="539">
        <v>239551.75399863988</v>
      </c>
      <c r="J100" s="478">
        <v>0</v>
      </c>
      <c r="K100" s="574"/>
      <c r="L100" s="540">
        <f t="shared" si="28"/>
        <v>239551.75399863988</v>
      </c>
      <c r="M100" s="575">
        <f t="shared" ref="M100:M105" si="34">IF(L100&lt;&gt;0,+H100-L100,0)</f>
        <v>0</v>
      </c>
      <c r="N100" s="540">
        <f t="shared" si="30"/>
        <v>239551.75399863988</v>
      </c>
      <c r="O100" s="478">
        <f t="shared" ref="O100:O105" si="35">IF(N100&lt;&gt;0,+I100-N100,0)</f>
        <v>0</v>
      </c>
      <c r="P100" s="349">
        <f t="shared" ref="P100:P105" si="36">+O100-M100</f>
        <v>0</v>
      </c>
    </row>
    <row r="101" spans="1:16">
      <c r="B101" s="160" t="str">
        <f t="shared" si="33"/>
        <v/>
      </c>
      <c r="C101" s="472">
        <f>IF(D93="","-",+C100+1)</f>
        <v>2013</v>
      </c>
      <c r="D101" s="473">
        <v>1451183</v>
      </c>
      <c r="E101" s="480">
        <v>28725</v>
      </c>
      <c r="F101" s="573">
        <v>1422458</v>
      </c>
      <c r="G101" s="479">
        <v>1436820.5</v>
      </c>
      <c r="H101" s="539">
        <v>235540.35933406017</v>
      </c>
      <c r="I101" s="539">
        <v>235540.35933406017</v>
      </c>
      <c r="J101" s="478">
        <v>0</v>
      </c>
      <c r="K101" s="574"/>
      <c r="L101" s="540">
        <f t="shared" si="28"/>
        <v>235540.35933406017</v>
      </c>
      <c r="M101" s="575">
        <f t="shared" si="34"/>
        <v>0</v>
      </c>
      <c r="N101" s="540">
        <f t="shared" si="30"/>
        <v>235540.35933406017</v>
      </c>
      <c r="O101" s="478">
        <f t="shared" si="35"/>
        <v>0</v>
      </c>
      <c r="P101" s="349">
        <f t="shared" si="36"/>
        <v>0</v>
      </c>
    </row>
    <row r="102" spans="1:16">
      <c r="B102" s="160" t="str">
        <f t="shared" si="33"/>
        <v>IU</v>
      </c>
      <c r="C102" s="472">
        <f>IF(D93="","-",+C101+1)</f>
        <v>2014</v>
      </c>
      <c r="D102" s="473">
        <v>1332834.6199999999</v>
      </c>
      <c r="E102" s="480">
        <v>27002</v>
      </c>
      <c r="F102" s="573">
        <v>1305832.6199999999</v>
      </c>
      <c r="G102" s="479">
        <v>1319333.6199999999</v>
      </c>
      <c r="H102" s="539">
        <v>212494.91385632072</v>
      </c>
      <c r="I102" s="539">
        <v>212494.91385632072</v>
      </c>
      <c r="J102" s="478">
        <v>0</v>
      </c>
      <c r="K102" s="574"/>
      <c r="L102" s="540">
        <f t="shared" si="28"/>
        <v>212494.91385632072</v>
      </c>
      <c r="M102" s="575">
        <f t="shared" si="34"/>
        <v>0</v>
      </c>
      <c r="N102" s="540">
        <f t="shared" si="30"/>
        <v>212494.91385632072</v>
      </c>
      <c r="O102" s="478">
        <f t="shared" si="35"/>
        <v>0</v>
      </c>
      <c r="P102" s="349">
        <f t="shared" si="36"/>
        <v>0</v>
      </c>
    </row>
    <row r="103" spans="1:16">
      <c r="B103" s="160" t="str">
        <f t="shared" si="33"/>
        <v/>
      </c>
      <c r="C103" s="472">
        <f>IF(D93="","-",+C102+1)</f>
        <v>2015</v>
      </c>
      <c r="D103" s="473">
        <v>1305832.6199999999</v>
      </c>
      <c r="E103" s="480">
        <v>27002</v>
      </c>
      <c r="F103" s="573">
        <v>1278830.6199999999</v>
      </c>
      <c r="G103" s="479">
        <v>1292331.6199999999</v>
      </c>
      <c r="H103" s="539">
        <v>203330.25869072074</v>
      </c>
      <c r="I103" s="539">
        <v>203330.25869072074</v>
      </c>
      <c r="J103" s="478">
        <f t="shared" si="27"/>
        <v>0</v>
      </c>
      <c r="K103" s="574"/>
      <c r="L103" s="540">
        <f t="shared" si="28"/>
        <v>203330.25869072074</v>
      </c>
      <c r="M103" s="575">
        <f t="shared" si="34"/>
        <v>0</v>
      </c>
      <c r="N103" s="540">
        <f t="shared" si="30"/>
        <v>203330.25869072074</v>
      </c>
      <c r="O103" s="478">
        <f t="shared" si="35"/>
        <v>0</v>
      </c>
      <c r="P103" s="349">
        <f t="shared" si="36"/>
        <v>0</v>
      </c>
    </row>
    <row r="104" spans="1:16">
      <c r="B104" s="160" t="str">
        <f t="shared" si="33"/>
        <v/>
      </c>
      <c r="C104" s="472">
        <f>IF(D93="","-",+C103+1)</f>
        <v>2016</v>
      </c>
      <c r="D104" s="473">
        <v>1278830.6199999999</v>
      </c>
      <c r="E104" s="480">
        <v>30524</v>
      </c>
      <c r="F104" s="573">
        <v>1248306.6199999999</v>
      </c>
      <c r="G104" s="479">
        <v>1263568.6199999999</v>
      </c>
      <c r="H104" s="539">
        <v>193417.89490142919</v>
      </c>
      <c r="I104" s="539">
        <v>193417.89490142919</v>
      </c>
      <c r="J104" s="478">
        <f t="shared" si="27"/>
        <v>0</v>
      </c>
      <c r="K104" s="478"/>
      <c r="L104" s="540">
        <f t="shared" si="28"/>
        <v>193417.89490142919</v>
      </c>
      <c r="M104" s="575">
        <f t="shared" si="34"/>
        <v>0</v>
      </c>
      <c r="N104" s="540">
        <f t="shared" si="30"/>
        <v>193417.89490142919</v>
      </c>
      <c r="O104" s="478">
        <f t="shared" si="35"/>
        <v>0</v>
      </c>
      <c r="P104" s="349">
        <f t="shared" si="36"/>
        <v>0</v>
      </c>
    </row>
    <row r="105" spans="1:16">
      <c r="B105" s="160" t="str">
        <f t="shared" si="33"/>
        <v/>
      </c>
      <c r="C105" s="472">
        <f>IF(D93="","-",+C104+1)</f>
        <v>2017</v>
      </c>
      <c r="D105" s="473">
        <v>1248306.6199999999</v>
      </c>
      <c r="E105" s="480">
        <v>30524</v>
      </c>
      <c r="F105" s="573">
        <v>1217782.6199999999</v>
      </c>
      <c r="G105" s="479">
        <v>1233044.6199999999</v>
      </c>
      <c r="H105" s="539">
        <v>186938.81917011391</v>
      </c>
      <c r="I105" s="539">
        <v>186938.81917011391</v>
      </c>
      <c r="J105" s="478">
        <f t="shared" si="27"/>
        <v>0</v>
      </c>
      <c r="K105" s="478"/>
      <c r="L105" s="540">
        <f>H105</f>
        <v>186938.81917011391</v>
      </c>
      <c r="M105" s="575">
        <f t="shared" si="34"/>
        <v>0</v>
      </c>
      <c r="N105" s="540">
        <f>I105</f>
        <v>186938.81917011391</v>
      </c>
      <c r="O105" s="478">
        <f t="shared" si="35"/>
        <v>0</v>
      </c>
      <c r="P105" s="349">
        <f t="shared" si="36"/>
        <v>0</v>
      </c>
    </row>
    <row r="106" spans="1:16">
      <c r="B106" s="160" t="str">
        <f t="shared" si="33"/>
        <v/>
      </c>
      <c r="C106" s="472">
        <f>IF(D93="","-",+C105+1)</f>
        <v>2018</v>
      </c>
      <c r="D106" s="473">
        <v>1217782.6199999999</v>
      </c>
      <c r="E106" s="480">
        <v>32653</v>
      </c>
      <c r="F106" s="573">
        <v>1185129.6199999999</v>
      </c>
      <c r="G106" s="479">
        <v>1201456.1199999999</v>
      </c>
      <c r="H106" s="539">
        <v>156085.27550586959</v>
      </c>
      <c r="I106" s="539">
        <v>156085.27550586959</v>
      </c>
      <c r="J106" s="478">
        <f t="shared" si="27"/>
        <v>0</v>
      </c>
      <c r="K106" s="478"/>
      <c r="L106" s="540">
        <f>H106</f>
        <v>156085.27550586959</v>
      </c>
      <c r="M106" s="575">
        <f t="shared" ref="M106" si="37">IF(L106&lt;&gt;0,+H106-L106,0)</f>
        <v>0</v>
      </c>
      <c r="N106" s="540">
        <f>I106</f>
        <v>156085.27550586959</v>
      </c>
      <c r="O106" s="478">
        <f t="shared" ref="O106" si="38">IF(N106&lt;&gt;0,+I106-N106,0)</f>
        <v>0</v>
      </c>
      <c r="P106" s="349">
        <f t="shared" ref="P106" si="39">+O106-M106</f>
        <v>0</v>
      </c>
    </row>
    <row r="107" spans="1:16">
      <c r="B107" s="160" t="str">
        <f t="shared" si="33"/>
        <v/>
      </c>
      <c r="C107" s="472">
        <f>IF(D93="","-",+C106+1)</f>
        <v>2019</v>
      </c>
      <c r="D107" s="473">
        <v>1185129.6199999999</v>
      </c>
      <c r="E107" s="480">
        <v>34246</v>
      </c>
      <c r="F107" s="573">
        <v>1150883.6199999999</v>
      </c>
      <c r="G107" s="479">
        <v>1168006.6199999999</v>
      </c>
      <c r="H107" s="539">
        <v>154683.86507702887</v>
      </c>
      <c r="I107" s="539">
        <v>154683.86507702887</v>
      </c>
      <c r="J107" s="478">
        <f t="shared" si="27"/>
        <v>0</v>
      </c>
      <c r="K107" s="478"/>
      <c r="L107" s="540">
        <f>H107</f>
        <v>154683.86507702887</v>
      </c>
      <c r="M107" s="575">
        <f t="shared" ref="M107" si="40">IF(L107&lt;&gt;0,+H107-L107,0)</f>
        <v>0</v>
      </c>
      <c r="N107" s="540">
        <f>I107</f>
        <v>154683.86507702887</v>
      </c>
      <c r="O107" s="478">
        <f t="shared" si="31"/>
        <v>0</v>
      </c>
      <c r="P107" s="475">
        <f t="shared" si="32"/>
        <v>0</v>
      </c>
    </row>
    <row r="108" spans="1:16">
      <c r="B108" s="160" t="str">
        <f t="shared" si="33"/>
        <v/>
      </c>
      <c r="C108" s="472">
        <f>IF(D93="","-",+C107+1)</f>
        <v>2020</v>
      </c>
      <c r="D108" s="473">
        <v>1150883.6199999999</v>
      </c>
      <c r="E108" s="480">
        <v>32653</v>
      </c>
      <c r="F108" s="573">
        <v>1118230.6199999999</v>
      </c>
      <c r="G108" s="479">
        <v>1134557.1199999999</v>
      </c>
      <c r="H108" s="539">
        <v>163464.31672839285</v>
      </c>
      <c r="I108" s="539">
        <v>163464.31672839285</v>
      </c>
      <c r="J108" s="478">
        <f t="shared" si="27"/>
        <v>0</v>
      </c>
      <c r="K108" s="478"/>
      <c r="L108" s="540">
        <f>H108</f>
        <v>163464.31672839285</v>
      </c>
      <c r="M108" s="575">
        <f t="shared" ref="M108" si="41">IF(L108&lt;&gt;0,+H108-L108,0)</f>
        <v>0</v>
      </c>
      <c r="N108" s="540">
        <f>I108</f>
        <v>163464.31672839285</v>
      </c>
      <c r="O108" s="478">
        <f t="shared" si="31"/>
        <v>0</v>
      </c>
      <c r="P108" s="475">
        <f t="shared" si="32"/>
        <v>0</v>
      </c>
    </row>
    <row r="109" spans="1:16">
      <c r="B109" s="160" t="str">
        <f t="shared" si="33"/>
        <v/>
      </c>
      <c r="C109" s="472">
        <f>IF(D93="","-",+C108+1)</f>
        <v>2021</v>
      </c>
      <c r="D109" s="473">
        <v>1118230.6199999999</v>
      </c>
      <c r="E109" s="480">
        <v>34246</v>
      </c>
      <c r="F109" s="573">
        <v>1083984.6199999999</v>
      </c>
      <c r="G109" s="479">
        <v>1101107.6199999999</v>
      </c>
      <c r="H109" s="539">
        <v>159544.11150802768</v>
      </c>
      <c r="I109" s="539">
        <v>159544.11150802768</v>
      </c>
      <c r="J109" s="478">
        <f t="shared" si="27"/>
        <v>0</v>
      </c>
      <c r="K109" s="478"/>
      <c r="L109" s="540">
        <f>H109</f>
        <v>159544.11150802768</v>
      </c>
      <c r="M109" s="575">
        <f t="shared" ref="M109" si="42">IF(L109&lt;&gt;0,+H109-L109,0)</f>
        <v>0</v>
      </c>
      <c r="N109" s="540">
        <f>I109</f>
        <v>159544.11150802768</v>
      </c>
      <c r="O109" s="478">
        <f t="shared" si="31"/>
        <v>0</v>
      </c>
      <c r="P109" s="478">
        <f t="shared" si="32"/>
        <v>0</v>
      </c>
    </row>
    <row r="110" spans="1:16">
      <c r="B110" s="160" t="str">
        <f t="shared" si="33"/>
        <v>IU</v>
      </c>
      <c r="C110" s="472">
        <f>IF(D93="","-",+C109+1)</f>
        <v>2022</v>
      </c>
      <c r="D110" s="347">
        <f>IF(F109+SUM(E$99:E109)=D$92,F109,D$92-SUM(E$99:E109))</f>
        <v>1173608</v>
      </c>
      <c r="E110" s="486">
        <f>IF(+J96&lt;F109,J96,D110)</f>
        <v>38301</v>
      </c>
      <c r="F110" s="485">
        <f t="shared" ref="F110:F130" si="43">+D110-E110</f>
        <v>1135307</v>
      </c>
      <c r="G110" s="485">
        <f t="shared" ref="G110:G130" si="44">+(F110+D110)/2</f>
        <v>1154457.5</v>
      </c>
      <c r="H110" s="486">
        <f t="shared" ref="H110:H153" si="45">(D110+F110)/2*J$94+E110</f>
        <v>165502.18998219044</v>
      </c>
      <c r="I110" s="542">
        <f t="shared" ref="I110:I153" si="46">+J$95*G110+E110</f>
        <v>165502.18998219044</v>
      </c>
      <c r="J110" s="478">
        <f t="shared" si="27"/>
        <v>0</v>
      </c>
      <c r="K110" s="478"/>
      <c r="L110" s="487"/>
      <c r="M110" s="478">
        <f t="shared" si="29"/>
        <v>0</v>
      </c>
      <c r="N110" s="487"/>
      <c r="O110" s="478">
        <f t="shared" si="31"/>
        <v>0</v>
      </c>
      <c r="P110" s="478">
        <f t="shared" si="32"/>
        <v>0</v>
      </c>
    </row>
    <row r="111" spans="1:16">
      <c r="B111" s="160" t="str">
        <f t="shared" si="33"/>
        <v/>
      </c>
      <c r="C111" s="472">
        <f>IF(D93="","-",+C110+1)</f>
        <v>2023</v>
      </c>
      <c r="D111" s="347">
        <f>IF(F110+SUM(E$99:E110)=D$92,F110,D$92-SUM(E$99:E110))</f>
        <v>1135307</v>
      </c>
      <c r="E111" s="486">
        <f>IF(+J96&lt;F110,J96,D111)</f>
        <v>38301</v>
      </c>
      <c r="F111" s="485">
        <f t="shared" si="43"/>
        <v>1097006</v>
      </c>
      <c r="G111" s="485">
        <f t="shared" si="44"/>
        <v>1116156.5</v>
      </c>
      <c r="H111" s="486">
        <f t="shared" si="45"/>
        <v>161282.08419440017</v>
      </c>
      <c r="I111" s="542">
        <f t="shared" si="46"/>
        <v>161282.08419440017</v>
      </c>
      <c r="J111" s="478">
        <f t="shared" si="27"/>
        <v>0</v>
      </c>
      <c r="K111" s="478"/>
      <c r="L111" s="487"/>
      <c r="M111" s="478">
        <f t="shared" si="29"/>
        <v>0</v>
      </c>
      <c r="N111" s="487"/>
      <c r="O111" s="478">
        <f t="shared" si="31"/>
        <v>0</v>
      </c>
      <c r="P111" s="478">
        <f t="shared" si="32"/>
        <v>0</v>
      </c>
    </row>
    <row r="112" spans="1:16">
      <c r="B112" s="160" t="str">
        <f t="shared" si="33"/>
        <v/>
      </c>
      <c r="C112" s="472">
        <f>IF(D93="","-",+C111+1)</f>
        <v>2024</v>
      </c>
      <c r="D112" s="347">
        <f>IF(F111+SUM(E$99:E111)=D$92,F111,D$92-SUM(E$99:E111))</f>
        <v>1097006</v>
      </c>
      <c r="E112" s="486">
        <f>IF(+J96&lt;F111,J96,D112)</f>
        <v>38301</v>
      </c>
      <c r="F112" s="485">
        <f t="shared" si="43"/>
        <v>1058705</v>
      </c>
      <c r="G112" s="485">
        <f t="shared" si="44"/>
        <v>1077855.5</v>
      </c>
      <c r="H112" s="486">
        <f t="shared" si="45"/>
        <v>157061.97840660994</v>
      </c>
      <c r="I112" s="542">
        <f t="shared" si="46"/>
        <v>157061.97840660994</v>
      </c>
      <c r="J112" s="478">
        <f t="shared" si="27"/>
        <v>0</v>
      </c>
      <c r="K112" s="478"/>
      <c r="L112" s="487"/>
      <c r="M112" s="478">
        <f t="shared" si="29"/>
        <v>0</v>
      </c>
      <c r="N112" s="487"/>
      <c r="O112" s="478">
        <f t="shared" si="31"/>
        <v>0</v>
      </c>
      <c r="P112" s="478">
        <f t="shared" si="32"/>
        <v>0</v>
      </c>
    </row>
    <row r="113" spans="2:16">
      <c r="B113" s="160" t="str">
        <f t="shared" si="33"/>
        <v/>
      </c>
      <c r="C113" s="472">
        <f>IF(D93="","-",+C112+1)</f>
        <v>2025</v>
      </c>
      <c r="D113" s="347">
        <f>IF(F112+SUM(E$99:E112)=D$92,F112,D$92-SUM(E$99:E112))</f>
        <v>1058705</v>
      </c>
      <c r="E113" s="486">
        <f>IF(+J96&lt;F112,J96,D113)</f>
        <v>38301</v>
      </c>
      <c r="F113" s="485">
        <f t="shared" si="43"/>
        <v>1020404</v>
      </c>
      <c r="G113" s="485">
        <f t="shared" si="44"/>
        <v>1039554.5</v>
      </c>
      <c r="H113" s="486">
        <f t="shared" si="45"/>
        <v>152841.87261881967</v>
      </c>
      <c r="I113" s="542">
        <f t="shared" si="46"/>
        <v>152841.87261881967</v>
      </c>
      <c r="J113" s="478">
        <f t="shared" si="27"/>
        <v>0</v>
      </c>
      <c r="K113" s="478"/>
      <c r="L113" s="487"/>
      <c r="M113" s="478">
        <f t="shared" si="29"/>
        <v>0</v>
      </c>
      <c r="N113" s="487"/>
      <c r="O113" s="478">
        <f t="shared" si="31"/>
        <v>0</v>
      </c>
      <c r="P113" s="478">
        <f t="shared" si="32"/>
        <v>0</v>
      </c>
    </row>
    <row r="114" spans="2:16">
      <c r="B114" s="160" t="str">
        <f t="shared" si="33"/>
        <v/>
      </c>
      <c r="C114" s="472">
        <f>IF(D93="","-",+C113+1)</f>
        <v>2026</v>
      </c>
      <c r="D114" s="347">
        <f>IF(F113+SUM(E$99:E113)=D$92,F113,D$92-SUM(E$99:E113))</f>
        <v>1020404</v>
      </c>
      <c r="E114" s="486">
        <f>IF(+J96&lt;F113,J96,D114)</f>
        <v>38301</v>
      </c>
      <c r="F114" s="485">
        <f t="shared" si="43"/>
        <v>982103</v>
      </c>
      <c r="G114" s="485">
        <f t="shared" si="44"/>
        <v>1001253.5</v>
      </c>
      <c r="H114" s="486">
        <f t="shared" si="45"/>
        <v>148621.76683102941</v>
      </c>
      <c r="I114" s="542">
        <f t="shared" si="46"/>
        <v>148621.76683102941</v>
      </c>
      <c r="J114" s="478">
        <f t="shared" si="27"/>
        <v>0</v>
      </c>
      <c r="K114" s="478"/>
      <c r="L114" s="487"/>
      <c r="M114" s="478">
        <f t="shared" si="29"/>
        <v>0</v>
      </c>
      <c r="N114" s="487"/>
      <c r="O114" s="478">
        <f t="shared" si="31"/>
        <v>0</v>
      </c>
      <c r="P114" s="478">
        <f t="shared" si="32"/>
        <v>0</v>
      </c>
    </row>
    <row r="115" spans="2:16">
      <c r="B115" s="160" t="str">
        <f t="shared" si="33"/>
        <v/>
      </c>
      <c r="C115" s="472">
        <f>IF(D93="","-",+C114+1)</f>
        <v>2027</v>
      </c>
      <c r="D115" s="347">
        <f>IF(F114+SUM(E$99:E114)=D$92,F114,D$92-SUM(E$99:E114))</f>
        <v>982103</v>
      </c>
      <c r="E115" s="486">
        <f>IF(+J96&lt;F114,J96,D115)</f>
        <v>38301</v>
      </c>
      <c r="F115" s="485">
        <f t="shared" si="43"/>
        <v>943802</v>
      </c>
      <c r="G115" s="485">
        <f t="shared" si="44"/>
        <v>962952.5</v>
      </c>
      <c r="H115" s="486">
        <f t="shared" si="45"/>
        <v>144401.66104323915</v>
      </c>
      <c r="I115" s="542">
        <f t="shared" si="46"/>
        <v>144401.66104323915</v>
      </c>
      <c r="J115" s="478">
        <f t="shared" si="27"/>
        <v>0</v>
      </c>
      <c r="K115" s="478"/>
      <c r="L115" s="487"/>
      <c r="M115" s="478">
        <f t="shared" si="29"/>
        <v>0</v>
      </c>
      <c r="N115" s="487"/>
      <c r="O115" s="478">
        <f t="shared" si="31"/>
        <v>0</v>
      </c>
      <c r="P115" s="478">
        <f t="shared" si="32"/>
        <v>0</v>
      </c>
    </row>
    <row r="116" spans="2:16">
      <c r="B116" s="160" t="str">
        <f t="shared" si="33"/>
        <v/>
      </c>
      <c r="C116" s="472">
        <f>IF(D93="","-",+C115+1)</f>
        <v>2028</v>
      </c>
      <c r="D116" s="347">
        <f>IF(F115+SUM(E$99:E115)=D$92,F115,D$92-SUM(E$99:E115))</f>
        <v>943802</v>
      </c>
      <c r="E116" s="486">
        <f>IF(+J96&lt;F115,J96,D116)</f>
        <v>38301</v>
      </c>
      <c r="F116" s="485">
        <f t="shared" si="43"/>
        <v>905501</v>
      </c>
      <c r="G116" s="485">
        <f t="shared" si="44"/>
        <v>924651.5</v>
      </c>
      <c r="H116" s="486">
        <f t="shared" si="45"/>
        <v>140181.55525544888</v>
      </c>
      <c r="I116" s="542">
        <f t="shared" si="46"/>
        <v>140181.55525544888</v>
      </c>
      <c r="J116" s="478">
        <f t="shared" si="27"/>
        <v>0</v>
      </c>
      <c r="K116" s="478"/>
      <c r="L116" s="487"/>
      <c r="M116" s="478">
        <f t="shared" si="29"/>
        <v>0</v>
      </c>
      <c r="N116" s="487"/>
      <c r="O116" s="478">
        <f t="shared" si="31"/>
        <v>0</v>
      </c>
      <c r="P116" s="478">
        <f t="shared" si="32"/>
        <v>0</v>
      </c>
    </row>
    <row r="117" spans="2:16">
      <c r="B117" s="160" t="str">
        <f t="shared" si="33"/>
        <v/>
      </c>
      <c r="C117" s="472">
        <f>IF(D93="","-",+C116+1)</f>
        <v>2029</v>
      </c>
      <c r="D117" s="347">
        <f>IF(F116+SUM(E$99:E116)=D$92,F116,D$92-SUM(E$99:E116))</f>
        <v>905501</v>
      </c>
      <c r="E117" s="486">
        <f>IF(+J96&lt;F116,J96,D117)</f>
        <v>38301</v>
      </c>
      <c r="F117" s="485">
        <f t="shared" si="43"/>
        <v>867200</v>
      </c>
      <c r="G117" s="485">
        <f t="shared" si="44"/>
        <v>886350.5</v>
      </c>
      <c r="H117" s="486">
        <f t="shared" si="45"/>
        <v>135961.44946765862</v>
      </c>
      <c r="I117" s="542">
        <f t="shared" si="46"/>
        <v>135961.44946765862</v>
      </c>
      <c r="J117" s="478">
        <f t="shared" si="27"/>
        <v>0</v>
      </c>
      <c r="K117" s="478"/>
      <c r="L117" s="487"/>
      <c r="M117" s="478">
        <f t="shared" si="29"/>
        <v>0</v>
      </c>
      <c r="N117" s="487"/>
      <c r="O117" s="478">
        <f t="shared" si="31"/>
        <v>0</v>
      </c>
      <c r="P117" s="478">
        <f t="shared" si="32"/>
        <v>0</v>
      </c>
    </row>
    <row r="118" spans="2:16">
      <c r="B118" s="160" t="str">
        <f t="shared" si="33"/>
        <v/>
      </c>
      <c r="C118" s="472">
        <f>IF(D93="","-",+C117+1)</f>
        <v>2030</v>
      </c>
      <c r="D118" s="347">
        <f>IF(F117+SUM(E$99:E117)=D$92,F117,D$92-SUM(E$99:E117))</f>
        <v>867200</v>
      </c>
      <c r="E118" s="486">
        <f>IF(+J96&lt;F117,J96,D118)</f>
        <v>38301</v>
      </c>
      <c r="F118" s="485">
        <f t="shared" si="43"/>
        <v>828899</v>
      </c>
      <c r="G118" s="485">
        <f t="shared" si="44"/>
        <v>848049.5</v>
      </c>
      <c r="H118" s="486">
        <f t="shared" si="45"/>
        <v>131741.34367986835</v>
      </c>
      <c r="I118" s="542">
        <f t="shared" si="46"/>
        <v>131741.34367986835</v>
      </c>
      <c r="J118" s="478">
        <f t="shared" si="27"/>
        <v>0</v>
      </c>
      <c r="K118" s="478"/>
      <c r="L118" s="487"/>
      <c r="M118" s="478">
        <f t="shared" si="29"/>
        <v>0</v>
      </c>
      <c r="N118" s="487"/>
      <c r="O118" s="478">
        <f t="shared" si="31"/>
        <v>0</v>
      </c>
      <c r="P118" s="478">
        <f t="shared" si="32"/>
        <v>0</v>
      </c>
    </row>
    <row r="119" spans="2:16">
      <c r="B119" s="160" t="str">
        <f t="shared" si="33"/>
        <v/>
      </c>
      <c r="C119" s="472">
        <f>IF(D93="","-",+C118+1)</f>
        <v>2031</v>
      </c>
      <c r="D119" s="347">
        <f>IF(F118+SUM(E$99:E118)=D$92,F118,D$92-SUM(E$99:E118))</f>
        <v>828899</v>
      </c>
      <c r="E119" s="486">
        <f>IF(+J96&lt;F118,J96,D119)</f>
        <v>38301</v>
      </c>
      <c r="F119" s="485">
        <f t="shared" si="43"/>
        <v>790598</v>
      </c>
      <c r="G119" s="485">
        <f t="shared" si="44"/>
        <v>809748.5</v>
      </c>
      <c r="H119" s="486">
        <f t="shared" si="45"/>
        <v>127521.23789207809</v>
      </c>
      <c r="I119" s="542">
        <f t="shared" si="46"/>
        <v>127521.23789207809</v>
      </c>
      <c r="J119" s="478">
        <f t="shared" si="27"/>
        <v>0</v>
      </c>
      <c r="K119" s="478"/>
      <c r="L119" s="487"/>
      <c r="M119" s="478">
        <f t="shared" si="29"/>
        <v>0</v>
      </c>
      <c r="N119" s="487"/>
      <c r="O119" s="478">
        <f t="shared" si="31"/>
        <v>0</v>
      </c>
      <c r="P119" s="478">
        <f t="shared" si="32"/>
        <v>0</v>
      </c>
    </row>
    <row r="120" spans="2:16">
      <c r="B120" s="160" t="str">
        <f t="shared" si="33"/>
        <v/>
      </c>
      <c r="C120" s="472">
        <f>IF(D93="","-",+C119+1)</f>
        <v>2032</v>
      </c>
      <c r="D120" s="347">
        <f>IF(F119+SUM(E$99:E119)=D$92,F119,D$92-SUM(E$99:E119))</f>
        <v>790598</v>
      </c>
      <c r="E120" s="486">
        <f>IF(+J96&lt;F119,J96,D120)</f>
        <v>38301</v>
      </c>
      <c r="F120" s="485">
        <f t="shared" si="43"/>
        <v>752297</v>
      </c>
      <c r="G120" s="485">
        <f t="shared" si="44"/>
        <v>771447.5</v>
      </c>
      <c r="H120" s="486">
        <f t="shared" si="45"/>
        <v>123301.13210428784</v>
      </c>
      <c r="I120" s="542">
        <f t="shared" si="46"/>
        <v>123301.13210428784</v>
      </c>
      <c r="J120" s="478">
        <f t="shared" si="27"/>
        <v>0</v>
      </c>
      <c r="K120" s="478"/>
      <c r="L120" s="487"/>
      <c r="M120" s="478">
        <f t="shared" si="29"/>
        <v>0</v>
      </c>
      <c r="N120" s="487"/>
      <c r="O120" s="478">
        <f t="shared" si="31"/>
        <v>0</v>
      </c>
      <c r="P120" s="478">
        <f t="shared" si="32"/>
        <v>0</v>
      </c>
    </row>
    <row r="121" spans="2:16">
      <c r="B121" s="160" t="str">
        <f t="shared" si="33"/>
        <v/>
      </c>
      <c r="C121" s="472">
        <f>IF(D93="","-",+C120+1)</f>
        <v>2033</v>
      </c>
      <c r="D121" s="347">
        <f>IF(F120+SUM(E$99:E120)=D$92,F120,D$92-SUM(E$99:E120))</f>
        <v>752297</v>
      </c>
      <c r="E121" s="486">
        <f>IF(+J96&lt;F120,J96,D121)</f>
        <v>38301</v>
      </c>
      <c r="F121" s="485">
        <f t="shared" si="43"/>
        <v>713996</v>
      </c>
      <c r="G121" s="485">
        <f t="shared" si="44"/>
        <v>733146.5</v>
      </c>
      <c r="H121" s="486">
        <f t="shared" si="45"/>
        <v>119081.02631649758</v>
      </c>
      <c r="I121" s="542">
        <f t="shared" si="46"/>
        <v>119081.02631649758</v>
      </c>
      <c r="J121" s="478">
        <f t="shared" si="27"/>
        <v>0</v>
      </c>
      <c r="K121" s="478"/>
      <c r="L121" s="487"/>
      <c r="M121" s="478">
        <f t="shared" si="29"/>
        <v>0</v>
      </c>
      <c r="N121" s="487"/>
      <c r="O121" s="478">
        <f t="shared" si="31"/>
        <v>0</v>
      </c>
      <c r="P121" s="478">
        <f t="shared" si="32"/>
        <v>0</v>
      </c>
    </row>
    <row r="122" spans="2:16">
      <c r="B122" s="160" t="str">
        <f t="shared" si="33"/>
        <v/>
      </c>
      <c r="C122" s="472">
        <f>IF(D93="","-",+C121+1)</f>
        <v>2034</v>
      </c>
      <c r="D122" s="347">
        <f>IF(F121+SUM(E$99:E121)=D$92,F121,D$92-SUM(E$99:E121))</f>
        <v>713996</v>
      </c>
      <c r="E122" s="486">
        <f>IF(+J96&lt;F121,J96,D122)</f>
        <v>38301</v>
      </c>
      <c r="F122" s="485">
        <f t="shared" si="43"/>
        <v>675695</v>
      </c>
      <c r="G122" s="485">
        <f t="shared" si="44"/>
        <v>694845.5</v>
      </c>
      <c r="H122" s="486">
        <f t="shared" si="45"/>
        <v>114860.92052870731</v>
      </c>
      <c r="I122" s="542">
        <f t="shared" si="46"/>
        <v>114860.92052870731</v>
      </c>
      <c r="J122" s="478">
        <f t="shared" si="27"/>
        <v>0</v>
      </c>
      <c r="K122" s="478"/>
      <c r="L122" s="487"/>
      <c r="M122" s="478">
        <f t="shared" si="29"/>
        <v>0</v>
      </c>
      <c r="N122" s="487"/>
      <c r="O122" s="478">
        <f t="shared" si="31"/>
        <v>0</v>
      </c>
      <c r="P122" s="478">
        <f t="shared" si="32"/>
        <v>0</v>
      </c>
    </row>
    <row r="123" spans="2:16">
      <c r="B123" s="160" t="str">
        <f t="shared" si="33"/>
        <v/>
      </c>
      <c r="C123" s="472">
        <f>IF(D93="","-",+C122+1)</f>
        <v>2035</v>
      </c>
      <c r="D123" s="347">
        <f>IF(F122+SUM(E$99:E122)=D$92,F122,D$92-SUM(E$99:E122))</f>
        <v>675695</v>
      </c>
      <c r="E123" s="486">
        <f>IF(+J96&lt;F122,J96,D123)</f>
        <v>38301</v>
      </c>
      <c r="F123" s="485">
        <f t="shared" si="43"/>
        <v>637394</v>
      </c>
      <c r="G123" s="485">
        <f t="shared" si="44"/>
        <v>656544.5</v>
      </c>
      <c r="H123" s="486">
        <f t="shared" si="45"/>
        <v>110640.81474091705</v>
      </c>
      <c r="I123" s="542">
        <f t="shared" si="46"/>
        <v>110640.81474091705</v>
      </c>
      <c r="J123" s="478">
        <f t="shared" si="27"/>
        <v>0</v>
      </c>
      <c r="K123" s="478"/>
      <c r="L123" s="487"/>
      <c r="M123" s="478">
        <f t="shared" si="29"/>
        <v>0</v>
      </c>
      <c r="N123" s="487"/>
      <c r="O123" s="478">
        <f t="shared" si="31"/>
        <v>0</v>
      </c>
      <c r="P123" s="478">
        <f t="shared" si="32"/>
        <v>0</v>
      </c>
    </row>
    <row r="124" spans="2:16">
      <c r="B124" s="160" t="str">
        <f t="shared" si="33"/>
        <v/>
      </c>
      <c r="C124" s="472">
        <f>IF(D93="","-",+C123+1)</f>
        <v>2036</v>
      </c>
      <c r="D124" s="347">
        <f>IF(F123+SUM(E$99:E123)=D$92,F123,D$92-SUM(E$99:E123))</f>
        <v>637394</v>
      </c>
      <c r="E124" s="486">
        <f>IF(+J96&lt;F123,J96,D124)</f>
        <v>38301</v>
      </c>
      <c r="F124" s="485">
        <f t="shared" si="43"/>
        <v>599093</v>
      </c>
      <c r="G124" s="485">
        <f t="shared" si="44"/>
        <v>618243.5</v>
      </c>
      <c r="H124" s="486">
        <f t="shared" si="45"/>
        <v>106420.70895312678</v>
      </c>
      <c r="I124" s="542">
        <f t="shared" si="46"/>
        <v>106420.70895312678</v>
      </c>
      <c r="J124" s="478">
        <f t="shared" si="27"/>
        <v>0</v>
      </c>
      <c r="K124" s="478"/>
      <c r="L124" s="487"/>
      <c r="M124" s="478">
        <f t="shared" si="29"/>
        <v>0</v>
      </c>
      <c r="N124" s="487"/>
      <c r="O124" s="478">
        <f t="shared" si="31"/>
        <v>0</v>
      </c>
      <c r="P124" s="478">
        <f t="shared" si="32"/>
        <v>0</v>
      </c>
    </row>
    <row r="125" spans="2:16">
      <c r="B125" s="160" t="str">
        <f t="shared" si="33"/>
        <v/>
      </c>
      <c r="C125" s="472">
        <f>IF(D93="","-",+C124+1)</f>
        <v>2037</v>
      </c>
      <c r="D125" s="347">
        <f>IF(F124+SUM(E$99:E124)=D$92,F124,D$92-SUM(E$99:E124))</f>
        <v>599093</v>
      </c>
      <c r="E125" s="486">
        <f>IF(+J96&lt;F124,J96,D125)</f>
        <v>38301</v>
      </c>
      <c r="F125" s="485">
        <f t="shared" si="43"/>
        <v>560792</v>
      </c>
      <c r="G125" s="485">
        <f t="shared" si="44"/>
        <v>579942.5</v>
      </c>
      <c r="H125" s="486">
        <f t="shared" si="45"/>
        <v>102200.60316533652</v>
      </c>
      <c r="I125" s="542">
        <f t="shared" si="46"/>
        <v>102200.60316533652</v>
      </c>
      <c r="J125" s="478">
        <f t="shared" si="27"/>
        <v>0</v>
      </c>
      <c r="K125" s="478"/>
      <c r="L125" s="487"/>
      <c r="M125" s="478">
        <f t="shared" si="29"/>
        <v>0</v>
      </c>
      <c r="N125" s="487"/>
      <c r="O125" s="478">
        <f t="shared" si="31"/>
        <v>0</v>
      </c>
      <c r="P125" s="478">
        <f t="shared" si="32"/>
        <v>0</v>
      </c>
    </row>
    <row r="126" spans="2:16">
      <c r="B126" s="160" t="str">
        <f t="shared" si="33"/>
        <v/>
      </c>
      <c r="C126" s="472">
        <f>IF(D93="","-",+C125+1)</f>
        <v>2038</v>
      </c>
      <c r="D126" s="347">
        <f>IF(F125+SUM(E$99:E125)=D$92,F125,D$92-SUM(E$99:E125))</f>
        <v>560792</v>
      </c>
      <c r="E126" s="486">
        <f>IF(+J96&lt;F125,J96,D126)</f>
        <v>38301</v>
      </c>
      <c r="F126" s="485">
        <f t="shared" si="43"/>
        <v>522491</v>
      </c>
      <c r="G126" s="485">
        <f t="shared" si="44"/>
        <v>541641.5</v>
      </c>
      <c r="H126" s="486">
        <f t="shared" si="45"/>
        <v>97980.497377546271</v>
      </c>
      <c r="I126" s="542">
        <f t="shared" si="46"/>
        <v>97980.497377546271</v>
      </c>
      <c r="J126" s="478">
        <f t="shared" si="27"/>
        <v>0</v>
      </c>
      <c r="K126" s="478"/>
      <c r="L126" s="487"/>
      <c r="M126" s="478">
        <f t="shared" si="29"/>
        <v>0</v>
      </c>
      <c r="N126" s="487"/>
      <c r="O126" s="478">
        <f t="shared" si="31"/>
        <v>0</v>
      </c>
      <c r="P126" s="478">
        <f t="shared" si="32"/>
        <v>0</v>
      </c>
    </row>
    <row r="127" spans="2:16">
      <c r="B127" s="160" t="str">
        <f t="shared" si="33"/>
        <v/>
      </c>
      <c r="C127" s="472">
        <f>IF(D93="","-",+C126+1)</f>
        <v>2039</v>
      </c>
      <c r="D127" s="347">
        <f>IF(F126+SUM(E$99:E126)=D$92,F126,D$92-SUM(E$99:E126))</f>
        <v>522491</v>
      </c>
      <c r="E127" s="486">
        <f>IF(+J96&lt;F126,J96,D127)</f>
        <v>38301</v>
      </c>
      <c r="F127" s="485">
        <f t="shared" si="43"/>
        <v>484190</v>
      </c>
      <c r="G127" s="485">
        <f t="shared" si="44"/>
        <v>503340.5</v>
      </c>
      <c r="H127" s="486">
        <f t="shared" si="45"/>
        <v>93760.391589756007</v>
      </c>
      <c r="I127" s="542">
        <f t="shared" si="46"/>
        <v>93760.391589756007</v>
      </c>
      <c r="J127" s="478">
        <f t="shared" si="27"/>
        <v>0</v>
      </c>
      <c r="K127" s="478"/>
      <c r="L127" s="487"/>
      <c r="M127" s="478">
        <f t="shared" si="29"/>
        <v>0</v>
      </c>
      <c r="N127" s="487"/>
      <c r="O127" s="478">
        <f t="shared" si="31"/>
        <v>0</v>
      </c>
      <c r="P127" s="478">
        <f t="shared" si="32"/>
        <v>0</v>
      </c>
    </row>
    <row r="128" spans="2:16">
      <c r="B128" s="160" t="str">
        <f t="shared" si="33"/>
        <v/>
      </c>
      <c r="C128" s="472">
        <f>IF(D93="","-",+C127+1)</f>
        <v>2040</v>
      </c>
      <c r="D128" s="347">
        <f>IF(F127+SUM(E$99:E127)=D$92,F127,D$92-SUM(E$99:E127))</f>
        <v>484190</v>
      </c>
      <c r="E128" s="486">
        <f>IF(+J96&lt;F127,J96,D128)</f>
        <v>38301</v>
      </c>
      <c r="F128" s="485">
        <f t="shared" si="43"/>
        <v>445889</v>
      </c>
      <c r="G128" s="485">
        <f t="shared" si="44"/>
        <v>465039.5</v>
      </c>
      <c r="H128" s="486">
        <f t="shared" si="45"/>
        <v>89540.285801965743</v>
      </c>
      <c r="I128" s="542">
        <f t="shared" si="46"/>
        <v>89540.285801965743</v>
      </c>
      <c r="J128" s="478">
        <f t="shared" si="27"/>
        <v>0</v>
      </c>
      <c r="K128" s="478"/>
      <c r="L128" s="487"/>
      <c r="M128" s="478">
        <f t="shared" si="29"/>
        <v>0</v>
      </c>
      <c r="N128" s="487"/>
      <c r="O128" s="478">
        <f t="shared" si="31"/>
        <v>0</v>
      </c>
      <c r="P128" s="478">
        <f t="shared" si="32"/>
        <v>0</v>
      </c>
    </row>
    <row r="129" spans="2:16">
      <c r="B129" s="160" t="str">
        <f t="shared" si="33"/>
        <v/>
      </c>
      <c r="C129" s="472">
        <f>IF(D93="","-",+C128+1)</f>
        <v>2041</v>
      </c>
      <c r="D129" s="347">
        <f>IF(F128+SUM(E$99:E128)=D$92,F128,D$92-SUM(E$99:E128))</f>
        <v>445889</v>
      </c>
      <c r="E129" s="486">
        <f t="shared" ref="E129:E154" si="47">IF(+J$96&lt;F128,J$96,D129)</f>
        <v>38301</v>
      </c>
      <c r="F129" s="485">
        <f t="shared" si="43"/>
        <v>407588</v>
      </c>
      <c r="G129" s="485">
        <f t="shared" si="44"/>
        <v>426738.5</v>
      </c>
      <c r="H129" s="486">
        <f t="shared" si="45"/>
        <v>85320.180014175479</v>
      </c>
      <c r="I129" s="542">
        <f t="shared" si="46"/>
        <v>85320.180014175479</v>
      </c>
      <c r="J129" s="478">
        <f t="shared" si="27"/>
        <v>0</v>
      </c>
      <c r="K129" s="478"/>
      <c r="L129" s="487"/>
      <c r="M129" s="478">
        <f t="shared" si="29"/>
        <v>0</v>
      </c>
      <c r="N129" s="487"/>
      <c r="O129" s="478">
        <f t="shared" si="31"/>
        <v>0</v>
      </c>
      <c r="P129" s="478">
        <f t="shared" si="32"/>
        <v>0</v>
      </c>
    </row>
    <row r="130" spans="2:16">
      <c r="B130" s="160" t="str">
        <f t="shared" si="33"/>
        <v/>
      </c>
      <c r="C130" s="472">
        <f>IF(D93="","-",+C129+1)</f>
        <v>2042</v>
      </c>
      <c r="D130" s="347">
        <f>IF(F129+SUM(E$99:E129)=D$92,F129,D$92-SUM(E$99:E129))</f>
        <v>407588</v>
      </c>
      <c r="E130" s="486">
        <f t="shared" si="47"/>
        <v>38301</v>
      </c>
      <c r="F130" s="485">
        <f t="shared" si="43"/>
        <v>369287</v>
      </c>
      <c r="G130" s="485">
        <f t="shared" si="44"/>
        <v>388437.5</v>
      </c>
      <c r="H130" s="486">
        <f t="shared" si="45"/>
        <v>81100.074226385215</v>
      </c>
      <c r="I130" s="542">
        <f t="shared" si="46"/>
        <v>81100.074226385215</v>
      </c>
      <c r="J130" s="478">
        <f t="shared" si="27"/>
        <v>0</v>
      </c>
      <c r="K130" s="478"/>
      <c r="L130" s="487"/>
      <c r="M130" s="478">
        <f t="shared" si="29"/>
        <v>0</v>
      </c>
      <c r="N130" s="487"/>
      <c r="O130" s="478">
        <f t="shared" si="31"/>
        <v>0</v>
      </c>
      <c r="P130" s="478">
        <f t="shared" si="32"/>
        <v>0</v>
      </c>
    </row>
    <row r="131" spans="2:16">
      <c r="B131" s="160" t="str">
        <f t="shared" si="33"/>
        <v/>
      </c>
      <c r="C131" s="472">
        <f>IF(D93="","-",+C130+1)</f>
        <v>2043</v>
      </c>
      <c r="D131" s="347">
        <f>IF(F130+SUM(E$99:E130)=D$92,F130,D$92-SUM(E$99:E130))</f>
        <v>369287</v>
      </c>
      <c r="E131" s="486">
        <f t="shared" si="47"/>
        <v>38301</v>
      </c>
      <c r="F131" s="485">
        <f t="shared" ref="F131:F154" si="48">+D131-E131</f>
        <v>330986</v>
      </c>
      <c r="G131" s="485">
        <f t="shared" ref="G131:G154" si="49">+(F131+D131)/2</f>
        <v>350136.5</v>
      </c>
      <c r="H131" s="486">
        <f t="shared" si="45"/>
        <v>76879.968438594951</v>
      </c>
      <c r="I131" s="542">
        <f t="shared" si="46"/>
        <v>76879.968438594951</v>
      </c>
      <c r="J131" s="478">
        <f t="shared" ref="J131:J154" si="50">+I541-H541</f>
        <v>0</v>
      </c>
      <c r="K131" s="478"/>
      <c r="L131" s="487"/>
      <c r="M131" s="478">
        <f t="shared" ref="M131:M154" si="51">IF(L541&lt;&gt;0,+H541-L541,0)</f>
        <v>0</v>
      </c>
      <c r="N131" s="487"/>
      <c r="O131" s="478">
        <f t="shared" ref="O131:O154" si="52">IF(N541&lt;&gt;0,+I541-N541,0)</f>
        <v>0</v>
      </c>
      <c r="P131" s="478">
        <f t="shared" ref="P131:P154" si="53">+O541-M541</f>
        <v>0</v>
      </c>
    </row>
    <row r="132" spans="2:16">
      <c r="B132" s="160" t="str">
        <f t="shared" ref="B132:B154" si="54">IF(D132=F131,"","IU")</f>
        <v/>
      </c>
      <c r="C132" s="472">
        <f>IF(D93="","-",+C131+1)</f>
        <v>2044</v>
      </c>
      <c r="D132" s="347">
        <f>IF(F131+SUM(E$99:E131)=D$92,F131,D$92-SUM(E$99:E131))</f>
        <v>330986</v>
      </c>
      <c r="E132" s="486">
        <f t="shared" si="47"/>
        <v>38301</v>
      </c>
      <c r="F132" s="485">
        <f t="shared" si="48"/>
        <v>292685</v>
      </c>
      <c r="G132" s="485">
        <f t="shared" si="49"/>
        <v>311835.5</v>
      </c>
      <c r="H132" s="486">
        <f t="shared" si="45"/>
        <v>72659.862650804687</v>
      </c>
      <c r="I132" s="542">
        <f t="shared" si="46"/>
        <v>72659.862650804687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>
      <c r="B133" s="160" t="str">
        <f t="shared" si="54"/>
        <v/>
      </c>
      <c r="C133" s="472">
        <f>IF(D93="","-",+C132+1)</f>
        <v>2045</v>
      </c>
      <c r="D133" s="347">
        <f>IF(F132+SUM(E$99:E132)=D$92,F132,D$92-SUM(E$99:E132))</f>
        <v>292685</v>
      </c>
      <c r="E133" s="486">
        <f t="shared" si="47"/>
        <v>38301</v>
      </c>
      <c r="F133" s="485">
        <f t="shared" si="48"/>
        <v>254384</v>
      </c>
      <c r="G133" s="485">
        <f t="shared" si="49"/>
        <v>273534.5</v>
      </c>
      <c r="H133" s="486">
        <f t="shared" si="45"/>
        <v>68439.756863014423</v>
      </c>
      <c r="I133" s="542">
        <f t="shared" si="46"/>
        <v>68439.756863014423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>
      <c r="B134" s="160" t="str">
        <f t="shared" si="54"/>
        <v/>
      </c>
      <c r="C134" s="472">
        <f>IF(D93="","-",+C133+1)</f>
        <v>2046</v>
      </c>
      <c r="D134" s="347">
        <f>IF(F133+SUM(E$99:E133)=D$92,F133,D$92-SUM(E$99:E133))</f>
        <v>254384</v>
      </c>
      <c r="E134" s="486">
        <f t="shared" si="47"/>
        <v>38301</v>
      </c>
      <c r="F134" s="485">
        <f t="shared" si="48"/>
        <v>216083</v>
      </c>
      <c r="G134" s="485">
        <f t="shared" si="49"/>
        <v>235233.5</v>
      </c>
      <c r="H134" s="486">
        <f t="shared" si="45"/>
        <v>64219.651075224159</v>
      </c>
      <c r="I134" s="542">
        <f t="shared" si="46"/>
        <v>64219.651075224159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>
      <c r="B135" s="160" t="str">
        <f t="shared" si="54"/>
        <v/>
      </c>
      <c r="C135" s="472">
        <f>IF(D93="","-",+C134+1)</f>
        <v>2047</v>
      </c>
      <c r="D135" s="347">
        <f>IF(F134+SUM(E$99:E134)=D$92,F134,D$92-SUM(E$99:E134))</f>
        <v>216083</v>
      </c>
      <c r="E135" s="486">
        <f t="shared" si="47"/>
        <v>38301</v>
      </c>
      <c r="F135" s="485">
        <f t="shared" si="48"/>
        <v>177782</v>
      </c>
      <c r="G135" s="485">
        <f t="shared" si="49"/>
        <v>196932.5</v>
      </c>
      <c r="H135" s="486">
        <f t="shared" si="45"/>
        <v>59999.545287433895</v>
      </c>
      <c r="I135" s="542">
        <f t="shared" si="46"/>
        <v>59999.545287433895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>
      <c r="B136" s="160" t="str">
        <f t="shared" si="54"/>
        <v/>
      </c>
      <c r="C136" s="472">
        <f>IF(D93="","-",+C135+1)</f>
        <v>2048</v>
      </c>
      <c r="D136" s="347">
        <f>IF(F135+SUM(E$99:E135)=D$92,F135,D$92-SUM(E$99:E135))</f>
        <v>177782</v>
      </c>
      <c r="E136" s="486">
        <f t="shared" si="47"/>
        <v>38301</v>
      </c>
      <c r="F136" s="485">
        <f t="shared" si="48"/>
        <v>139481</v>
      </c>
      <c r="G136" s="485">
        <f t="shared" si="49"/>
        <v>158631.5</v>
      </c>
      <c r="H136" s="486">
        <f t="shared" si="45"/>
        <v>55779.439499643639</v>
      </c>
      <c r="I136" s="542">
        <f t="shared" si="46"/>
        <v>55779.439499643639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>
      <c r="B137" s="160" t="str">
        <f t="shared" si="54"/>
        <v/>
      </c>
      <c r="C137" s="472">
        <f>IF(D93="","-",+C136+1)</f>
        <v>2049</v>
      </c>
      <c r="D137" s="347">
        <f>IF(F136+SUM(E$99:E136)=D$92,F136,D$92-SUM(E$99:E136))</f>
        <v>139481</v>
      </c>
      <c r="E137" s="486">
        <f t="shared" si="47"/>
        <v>38301</v>
      </c>
      <c r="F137" s="485">
        <f t="shared" si="48"/>
        <v>101180</v>
      </c>
      <c r="G137" s="485">
        <f t="shared" si="49"/>
        <v>120330.5</v>
      </c>
      <c r="H137" s="486">
        <f t="shared" si="45"/>
        <v>51559.333711853375</v>
      </c>
      <c r="I137" s="542">
        <f t="shared" si="46"/>
        <v>51559.333711853375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>
      <c r="B138" s="160" t="str">
        <f t="shared" si="54"/>
        <v/>
      </c>
      <c r="C138" s="472">
        <f>IF(D93="","-",+C137+1)</f>
        <v>2050</v>
      </c>
      <c r="D138" s="347">
        <f>IF(F137+SUM(E$99:E137)=D$92,F137,D$92-SUM(E$99:E137))</f>
        <v>101180</v>
      </c>
      <c r="E138" s="486">
        <f t="shared" si="47"/>
        <v>38301</v>
      </c>
      <c r="F138" s="485">
        <f t="shared" si="48"/>
        <v>62879</v>
      </c>
      <c r="G138" s="485">
        <f t="shared" si="49"/>
        <v>82029.5</v>
      </c>
      <c r="H138" s="486">
        <f t="shared" si="45"/>
        <v>47339.227924063118</v>
      </c>
      <c r="I138" s="542">
        <f t="shared" si="46"/>
        <v>47339.227924063118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>
      <c r="B139" s="160" t="str">
        <f t="shared" si="54"/>
        <v/>
      </c>
      <c r="C139" s="472">
        <f>IF(D93="","-",+C138+1)</f>
        <v>2051</v>
      </c>
      <c r="D139" s="347">
        <f>IF(F138+SUM(E$99:E138)=D$92,F138,D$92-SUM(E$99:E138))</f>
        <v>62879</v>
      </c>
      <c r="E139" s="486">
        <f t="shared" si="47"/>
        <v>38301</v>
      </c>
      <c r="F139" s="485">
        <f t="shared" si="48"/>
        <v>24578</v>
      </c>
      <c r="G139" s="485">
        <f t="shared" si="49"/>
        <v>43728.5</v>
      </c>
      <c r="H139" s="486">
        <f t="shared" si="45"/>
        <v>43119.122136272854</v>
      </c>
      <c r="I139" s="542">
        <f t="shared" si="46"/>
        <v>43119.122136272854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>
      <c r="B140" s="160" t="str">
        <f t="shared" si="54"/>
        <v/>
      </c>
      <c r="C140" s="472">
        <f>IF(D93="","-",+C139+1)</f>
        <v>2052</v>
      </c>
      <c r="D140" s="347">
        <f>IF(F139+SUM(E$99:E139)=D$92,F139,D$92-SUM(E$99:E139))</f>
        <v>24578</v>
      </c>
      <c r="E140" s="486">
        <f t="shared" si="47"/>
        <v>24578</v>
      </c>
      <c r="F140" s="485">
        <f t="shared" si="48"/>
        <v>0</v>
      </c>
      <c r="G140" s="485">
        <f t="shared" si="49"/>
        <v>12289</v>
      </c>
      <c r="H140" s="486">
        <f t="shared" si="45"/>
        <v>25932.034621188861</v>
      </c>
      <c r="I140" s="542">
        <f t="shared" si="46"/>
        <v>25932.034621188861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>
      <c r="B141" s="160" t="str">
        <f t="shared" si="54"/>
        <v/>
      </c>
      <c r="C141" s="472">
        <f>IF(D93="","-",+C140+1)</f>
        <v>2053</v>
      </c>
      <c r="D141" s="347">
        <f>IF(F140+SUM(E$99:E140)=D$92,F140,D$92-SUM(E$99:E140))</f>
        <v>0</v>
      </c>
      <c r="E141" s="486">
        <f t="shared" si="47"/>
        <v>0</v>
      </c>
      <c r="F141" s="485">
        <f t="shared" si="48"/>
        <v>0</v>
      </c>
      <c r="G141" s="485">
        <f t="shared" si="49"/>
        <v>0</v>
      </c>
      <c r="H141" s="486">
        <f t="shared" si="45"/>
        <v>0</v>
      </c>
      <c r="I141" s="542">
        <f t="shared" si="46"/>
        <v>0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>
      <c r="B142" s="160" t="str">
        <f t="shared" si="54"/>
        <v/>
      </c>
      <c r="C142" s="472">
        <f>IF(D93="","-",+C141+1)</f>
        <v>2054</v>
      </c>
      <c r="D142" s="347">
        <f>IF(F141+SUM(E$99:E141)=D$92,F141,D$92-SUM(E$99:E141))</f>
        <v>0</v>
      </c>
      <c r="E142" s="486">
        <f t="shared" si="47"/>
        <v>0</v>
      </c>
      <c r="F142" s="485">
        <f t="shared" si="48"/>
        <v>0</v>
      </c>
      <c r="G142" s="485">
        <f t="shared" si="49"/>
        <v>0</v>
      </c>
      <c r="H142" s="486">
        <f t="shared" si="45"/>
        <v>0</v>
      </c>
      <c r="I142" s="542">
        <f t="shared" si="46"/>
        <v>0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>
      <c r="B143" s="160" t="str">
        <f t="shared" si="54"/>
        <v/>
      </c>
      <c r="C143" s="472">
        <f>IF(D93="","-",+C142+1)</f>
        <v>2055</v>
      </c>
      <c r="D143" s="347">
        <f>IF(F142+SUM(E$99:E142)=D$92,F142,D$92-SUM(E$99:E142))</f>
        <v>0</v>
      </c>
      <c r="E143" s="486">
        <f t="shared" si="47"/>
        <v>0</v>
      </c>
      <c r="F143" s="485">
        <f t="shared" si="48"/>
        <v>0</v>
      </c>
      <c r="G143" s="485">
        <f t="shared" si="49"/>
        <v>0</v>
      </c>
      <c r="H143" s="486">
        <f t="shared" si="45"/>
        <v>0</v>
      </c>
      <c r="I143" s="542">
        <f t="shared" si="46"/>
        <v>0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>
      <c r="B144" s="160" t="str">
        <f t="shared" si="54"/>
        <v/>
      </c>
      <c r="C144" s="472">
        <f>IF(D93="","-",+C143+1)</f>
        <v>2056</v>
      </c>
      <c r="D144" s="347">
        <f>IF(F143+SUM(E$99:E143)=D$92,F143,D$92-SUM(E$99:E143))</f>
        <v>0</v>
      </c>
      <c r="E144" s="486">
        <f t="shared" si="47"/>
        <v>0</v>
      </c>
      <c r="F144" s="485">
        <f t="shared" si="48"/>
        <v>0</v>
      </c>
      <c r="G144" s="485">
        <f t="shared" si="49"/>
        <v>0</v>
      </c>
      <c r="H144" s="486">
        <f t="shared" si="45"/>
        <v>0</v>
      </c>
      <c r="I144" s="542">
        <f t="shared" si="46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>
      <c r="B145" s="160" t="str">
        <f t="shared" si="54"/>
        <v/>
      </c>
      <c r="C145" s="472">
        <f>IF(D93="","-",+C144+1)</f>
        <v>2057</v>
      </c>
      <c r="D145" s="347">
        <f>IF(F144+SUM(E$99:E144)=D$92,F144,D$92-SUM(E$99:E144))</f>
        <v>0</v>
      </c>
      <c r="E145" s="486">
        <f t="shared" si="47"/>
        <v>0</v>
      </c>
      <c r="F145" s="485">
        <f t="shared" si="48"/>
        <v>0</v>
      </c>
      <c r="G145" s="485">
        <f t="shared" si="49"/>
        <v>0</v>
      </c>
      <c r="H145" s="486">
        <f t="shared" si="45"/>
        <v>0</v>
      </c>
      <c r="I145" s="542">
        <f t="shared" si="46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>
      <c r="B146" s="160" t="str">
        <f t="shared" si="54"/>
        <v/>
      </c>
      <c r="C146" s="472">
        <f>IF(D93="","-",+C145+1)</f>
        <v>2058</v>
      </c>
      <c r="D146" s="347">
        <f>IF(F145+SUM(E$99:E145)=D$92,F145,D$92-SUM(E$99:E145))</f>
        <v>0</v>
      </c>
      <c r="E146" s="486">
        <f t="shared" si="47"/>
        <v>0</v>
      </c>
      <c r="F146" s="485">
        <f t="shared" si="48"/>
        <v>0</v>
      </c>
      <c r="G146" s="485">
        <f t="shared" si="49"/>
        <v>0</v>
      </c>
      <c r="H146" s="486">
        <f t="shared" si="45"/>
        <v>0</v>
      </c>
      <c r="I146" s="542">
        <f t="shared" si="46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>
      <c r="B147" s="160" t="str">
        <f t="shared" si="54"/>
        <v/>
      </c>
      <c r="C147" s="472">
        <f>IF(D93="","-",+C146+1)</f>
        <v>2059</v>
      </c>
      <c r="D147" s="347">
        <f>IF(F146+SUM(E$99:E146)=D$92,F146,D$92-SUM(E$99:E146))</f>
        <v>0</v>
      </c>
      <c r="E147" s="486">
        <f t="shared" si="47"/>
        <v>0</v>
      </c>
      <c r="F147" s="485">
        <f t="shared" si="48"/>
        <v>0</v>
      </c>
      <c r="G147" s="485">
        <f t="shared" si="49"/>
        <v>0</v>
      </c>
      <c r="H147" s="486">
        <f t="shared" si="45"/>
        <v>0</v>
      </c>
      <c r="I147" s="542">
        <f t="shared" si="46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>
      <c r="B148" s="160" t="str">
        <f t="shared" si="54"/>
        <v/>
      </c>
      <c r="C148" s="472">
        <f>IF(D93="","-",+C147+1)</f>
        <v>2060</v>
      </c>
      <c r="D148" s="347">
        <f>IF(F147+SUM(E$99:E147)=D$92,F147,D$92-SUM(E$99:E147))</f>
        <v>0</v>
      </c>
      <c r="E148" s="486">
        <f t="shared" si="47"/>
        <v>0</v>
      </c>
      <c r="F148" s="485">
        <f t="shared" si="48"/>
        <v>0</v>
      </c>
      <c r="G148" s="485">
        <f t="shared" si="49"/>
        <v>0</v>
      </c>
      <c r="H148" s="486">
        <f t="shared" si="45"/>
        <v>0</v>
      </c>
      <c r="I148" s="542">
        <f t="shared" si="46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>
      <c r="B149" s="160" t="str">
        <f t="shared" si="54"/>
        <v/>
      </c>
      <c r="C149" s="472">
        <f>IF(D93="","-",+C148+1)</f>
        <v>2061</v>
      </c>
      <c r="D149" s="347">
        <f>IF(F148+SUM(E$99:E148)=D$92,F148,D$92-SUM(E$99:E148))</f>
        <v>0</v>
      </c>
      <c r="E149" s="486">
        <f t="shared" si="47"/>
        <v>0</v>
      </c>
      <c r="F149" s="485">
        <f t="shared" si="48"/>
        <v>0</v>
      </c>
      <c r="G149" s="485">
        <f t="shared" si="49"/>
        <v>0</v>
      </c>
      <c r="H149" s="486">
        <f t="shared" si="45"/>
        <v>0</v>
      </c>
      <c r="I149" s="542">
        <f t="shared" si="46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>
      <c r="B150" s="160" t="str">
        <f t="shared" si="54"/>
        <v/>
      </c>
      <c r="C150" s="472">
        <f>IF(D93="","-",+C149+1)</f>
        <v>2062</v>
      </c>
      <c r="D150" s="347">
        <f>IF(F149+SUM(E$99:E149)=D$92,F149,D$92-SUM(E$99:E149))</f>
        <v>0</v>
      </c>
      <c r="E150" s="486">
        <f t="shared" si="47"/>
        <v>0</v>
      </c>
      <c r="F150" s="485">
        <f t="shared" si="48"/>
        <v>0</v>
      </c>
      <c r="G150" s="485">
        <f t="shared" si="49"/>
        <v>0</v>
      </c>
      <c r="H150" s="486">
        <f t="shared" si="45"/>
        <v>0</v>
      </c>
      <c r="I150" s="542">
        <f t="shared" si="46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>
      <c r="B151" s="160" t="str">
        <f t="shared" si="54"/>
        <v/>
      </c>
      <c r="C151" s="472">
        <f>IF(D93="","-",+C150+1)</f>
        <v>2063</v>
      </c>
      <c r="D151" s="347">
        <f>IF(F150+SUM(E$99:E150)=D$92,F150,D$92-SUM(E$99:E150))</f>
        <v>0</v>
      </c>
      <c r="E151" s="486">
        <f t="shared" si="47"/>
        <v>0</v>
      </c>
      <c r="F151" s="485">
        <f t="shared" si="48"/>
        <v>0</v>
      </c>
      <c r="G151" s="485">
        <f t="shared" si="49"/>
        <v>0</v>
      </c>
      <c r="H151" s="486">
        <f t="shared" si="45"/>
        <v>0</v>
      </c>
      <c r="I151" s="542">
        <f t="shared" si="46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>
      <c r="B152" s="160" t="str">
        <f t="shared" si="54"/>
        <v/>
      </c>
      <c r="C152" s="472">
        <f>IF(D93="","-",+C151+1)</f>
        <v>2064</v>
      </c>
      <c r="D152" s="347">
        <f>IF(F151+SUM(E$99:E151)=D$92,F151,D$92-SUM(E$99:E151))</f>
        <v>0</v>
      </c>
      <c r="E152" s="486">
        <f t="shared" si="47"/>
        <v>0</v>
      </c>
      <c r="F152" s="485">
        <f t="shared" si="48"/>
        <v>0</v>
      </c>
      <c r="G152" s="485">
        <f t="shared" si="49"/>
        <v>0</v>
      </c>
      <c r="H152" s="486">
        <f t="shared" si="45"/>
        <v>0</v>
      </c>
      <c r="I152" s="542">
        <f t="shared" si="46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>
      <c r="B153" s="160" t="str">
        <f t="shared" si="54"/>
        <v/>
      </c>
      <c r="C153" s="472">
        <f>IF(D93="","-",+C152+1)</f>
        <v>2065</v>
      </c>
      <c r="D153" s="347">
        <f>IF(F152+SUM(E$99:E152)=D$92,F152,D$92-SUM(E$99:E152))</f>
        <v>0</v>
      </c>
      <c r="E153" s="486">
        <f t="shared" si="47"/>
        <v>0</v>
      </c>
      <c r="F153" s="485">
        <f t="shared" si="48"/>
        <v>0</v>
      </c>
      <c r="G153" s="485">
        <f t="shared" si="49"/>
        <v>0</v>
      </c>
      <c r="H153" s="486">
        <f t="shared" si="45"/>
        <v>0</v>
      </c>
      <c r="I153" s="542">
        <f t="shared" si="46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.5" thickBot="1">
      <c r="B154" s="160" t="str">
        <f t="shared" si="54"/>
        <v/>
      </c>
      <c r="C154" s="489">
        <f>IF(D93="","-",+C153+1)</f>
        <v>2066</v>
      </c>
      <c r="D154" s="576">
        <f>IF(F153+SUM(E$99:E153)=D$92,F153,D$92-SUM(E$99:E153))</f>
        <v>0</v>
      </c>
      <c r="E154" s="544">
        <f t="shared" si="47"/>
        <v>0</v>
      </c>
      <c r="F154" s="490">
        <f t="shared" si="48"/>
        <v>0</v>
      </c>
      <c r="G154" s="490">
        <f t="shared" si="49"/>
        <v>0</v>
      </c>
      <c r="H154" s="492">
        <f t="shared" ref="H154" si="55">+J$94*G154+E154</f>
        <v>0</v>
      </c>
      <c r="I154" s="545">
        <f t="shared" ref="I154" si="56">+J$95*G154+E154</f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>
      <c r="C155" s="347" t="s">
        <v>77</v>
      </c>
      <c r="D155" s="348"/>
      <c r="E155" s="348">
        <f>SUM(E99:E154)</f>
        <v>1493723</v>
      </c>
      <c r="F155" s="348"/>
      <c r="G155" s="348"/>
      <c r="H155" s="348">
        <f>SUM(H99:H154)</f>
        <v>5173590.0935341334</v>
      </c>
      <c r="I155" s="348">
        <f>SUM(I99:I154)</f>
        <v>5173590.0935341334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/>
  <dimension ref="A1:P162"/>
  <sheetViews>
    <sheetView view="pageBreakPreview" zoomScale="75" zoomScaleNormal="100" workbookViewId="0">
      <selection activeCell="D11" sqref="D1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8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12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359737.7414285714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359737.7414285714</v>
      </c>
      <c r="O6" s="233"/>
      <c r="P6" s="233"/>
    </row>
    <row r="7" spans="1:16" ht="13.5" thickBot="1">
      <c r="C7" s="431" t="s">
        <v>46</v>
      </c>
      <c r="D7" s="432" t="s">
        <v>234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233</v>
      </c>
      <c r="E9" s="577" t="s">
        <v>292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3305767.14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2012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8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78708.741428571433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2012</v>
      </c>
      <c r="D17" s="473">
        <v>1132400</v>
      </c>
      <c r="E17" s="474">
        <v>3629.4871794871797</v>
      </c>
      <c r="F17" s="473">
        <v>1128770.5128205128</v>
      </c>
      <c r="G17" s="474">
        <v>160761.94360740471</v>
      </c>
      <c r="H17" s="481">
        <v>160761.94360740471</v>
      </c>
      <c r="I17" s="475">
        <f t="shared" ref="I17:I48" si="0">H17-G17</f>
        <v>0</v>
      </c>
      <c r="J17" s="475"/>
      <c r="K17" s="554">
        <f t="shared" ref="K17:K22" si="1">G17</f>
        <v>160761.94360740471</v>
      </c>
      <c r="L17" s="562">
        <f t="shared" ref="L17:L48" si="2">IF(K17&lt;&gt;0,+G17-K17,0)</f>
        <v>0</v>
      </c>
      <c r="M17" s="554">
        <f t="shared" ref="M17:M22" si="3">H17</f>
        <v>160761.94360740471</v>
      </c>
      <c r="N17" s="559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 t="shared" ref="B18:B49" si="6">IF(D18=F17,"","IU")</f>
        <v>IU</v>
      </c>
      <c r="C18" s="472">
        <f>IF(D11="","-",+C17+1)</f>
        <v>2013</v>
      </c>
      <c r="D18" s="473">
        <v>2746405</v>
      </c>
      <c r="E18" s="480">
        <v>52885</v>
      </c>
      <c r="F18" s="473">
        <v>2693519</v>
      </c>
      <c r="G18" s="480">
        <v>437538</v>
      </c>
      <c r="H18" s="481">
        <v>437538</v>
      </c>
      <c r="I18" s="475">
        <f t="shared" si="0"/>
        <v>0</v>
      </c>
      <c r="J18" s="475"/>
      <c r="K18" s="476">
        <f t="shared" si="1"/>
        <v>437538</v>
      </c>
      <c r="L18" s="550">
        <f t="shared" ref="L18:L23" si="7">IF(K18&lt;&gt;0,+G18-K18,0)</f>
        <v>0</v>
      </c>
      <c r="M18" s="476">
        <f t="shared" si="3"/>
        <v>437538</v>
      </c>
      <c r="N18" s="478">
        <f t="shared" ref="N18:N23" si="8">IF(M18&lt;&gt;0,+H18-M18,0)</f>
        <v>0</v>
      </c>
      <c r="O18" s="478">
        <f t="shared" ref="O18:O23" si="9">+N18-L18</f>
        <v>0</v>
      </c>
      <c r="P18" s="243"/>
    </row>
    <row r="19" spans="2:16">
      <c r="B19" s="160" t="str">
        <f t="shared" si="6"/>
        <v>IU</v>
      </c>
      <c r="C19" s="472">
        <f>IF(D11="","-",+C18+1)</f>
        <v>2014</v>
      </c>
      <c r="D19" s="473">
        <v>3185619.512820513</v>
      </c>
      <c r="E19" s="480">
        <v>62348.730769230766</v>
      </c>
      <c r="F19" s="473">
        <v>3123270.782051282</v>
      </c>
      <c r="G19" s="480">
        <v>492294.73076923075</v>
      </c>
      <c r="H19" s="481">
        <v>492294.73076923075</v>
      </c>
      <c r="I19" s="475">
        <v>0</v>
      </c>
      <c r="J19" s="475"/>
      <c r="K19" s="476">
        <f t="shared" si="1"/>
        <v>492294.73076923075</v>
      </c>
      <c r="L19" s="550">
        <f t="shared" si="7"/>
        <v>0</v>
      </c>
      <c r="M19" s="476">
        <f t="shared" si="3"/>
        <v>492294.73076923075</v>
      </c>
      <c r="N19" s="478">
        <f t="shared" si="8"/>
        <v>0</v>
      </c>
      <c r="O19" s="478">
        <f t="shared" si="9"/>
        <v>0</v>
      </c>
      <c r="P19" s="243"/>
    </row>
    <row r="20" spans="2:16">
      <c r="B20" s="160" t="str">
        <f t="shared" si="6"/>
        <v>IU</v>
      </c>
      <c r="C20" s="472">
        <f>IF(D11="","-",+C19+1)</f>
        <v>2015</v>
      </c>
      <c r="D20" s="473">
        <v>3186903.9220512821</v>
      </c>
      <c r="E20" s="480">
        <v>63572.445</v>
      </c>
      <c r="F20" s="473">
        <v>3123331.4770512823</v>
      </c>
      <c r="G20" s="480">
        <v>494191.44500000001</v>
      </c>
      <c r="H20" s="481">
        <v>494191.44500000001</v>
      </c>
      <c r="I20" s="475">
        <v>0</v>
      </c>
      <c r="J20" s="475"/>
      <c r="K20" s="476">
        <f t="shared" si="1"/>
        <v>494191.44500000001</v>
      </c>
      <c r="L20" s="550">
        <f t="shared" si="7"/>
        <v>0</v>
      </c>
      <c r="M20" s="476">
        <f t="shared" si="3"/>
        <v>494191.44500000001</v>
      </c>
      <c r="N20" s="478">
        <f t="shared" si="8"/>
        <v>0</v>
      </c>
      <c r="O20" s="478">
        <f t="shared" si="9"/>
        <v>0</v>
      </c>
      <c r="P20" s="243"/>
    </row>
    <row r="21" spans="2:16">
      <c r="B21" s="160" t="str">
        <f t="shared" si="6"/>
        <v/>
      </c>
      <c r="C21" s="472">
        <f>IF(D11="","-",+C20+1)</f>
        <v>2016</v>
      </c>
      <c r="D21" s="473">
        <v>3123331.4770512823</v>
      </c>
      <c r="E21" s="480">
        <v>63572.445</v>
      </c>
      <c r="F21" s="473">
        <v>3059759.0320512825</v>
      </c>
      <c r="G21" s="480">
        <v>464889.44500000001</v>
      </c>
      <c r="H21" s="481">
        <v>464889.44500000001</v>
      </c>
      <c r="I21" s="475">
        <f t="shared" si="0"/>
        <v>0</v>
      </c>
      <c r="J21" s="475"/>
      <c r="K21" s="476">
        <f t="shared" si="1"/>
        <v>464889.44500000001</v>
      </c>
      <c r="L21" s="550">
        <f t="shared" si="7"/>
        <v>0</v>
      </c>
      <c r="M21" s="476">
        <f t="shared" si="3"/>
        <v>464889.44500000001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2017</v>
      </c>
      <c r="D22" s="473">
        <v>3059759.0320512825</v>
      </c>
      <c r="E22" s="480">
        <v>71864.503043478268</v>
      </c>
      <c r="F22" s="473">
        <v>2987894.5290078041</v>
      </c>
      <c r="G22" s="480">
        <v>452105.50304347824</v>
      </c>
      <c r="H22" s="481">
        <v>452105.50304347824</v>
      </c>
      <c r="I22" s="475">
        <f t="shared" si="0"/>
        <v>0</v>
      </c>
      <c r="J22" s="475"/>
      <c r="K22" s="476">
        <f t="shared" si="1"/>
        <v>452105.50304347824</v>
      </c>
      <c r="L22" s="550">
        <f t="shared" si="7"/>
        <v>0</v>
      </c>
      <c r="M22" s="476">
        <f t="shared" si="3"/>
        <v>452105.50304347824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2018</v>
      </c>
      <c r="D23" s="473">
        <v>2987894.5290078041</v>
      </c>
      <c r="E23" s="480">
        <v>73461.491999999998</v>
      </c>
      <c r="F23" s="473">
        <v>2914433.037007804</v>
      </c>
      <c r="G23" s="480">
        <v>467887.49199999997</v>
      </c>
      <c r="H23" s="481">
        <v>467887.49199999997</v>
      </c>
      <c r="I23" s="475">
        <f t="shared" si="0"/>
        <v>0</v>
      </c>
      <c r="J23" s="475"/>
      <c r="K23" s="476">
        <f>G23</f>
        <v>467887.49199999997</v>
      </c>
      <c r="L23" s="550">
        <f t="shared" si="7"/>
        <v>0</v>
      </c>
      <c r="M23" s="476">
        <f>H23</f>
        <v>467887.49199999997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2019</v>
      </c>
      <c r="D24" s="473">
        <v>2914433.037007804</v>
      </c>
      <c r="E24" s="480">
        <v>73461.491999999998</v>
      </c>
      <c r="F24" s="473">
        <v>2840971.5450078039</v>
      </c>
      <c r="G24" s="480">
        <v>457945.49199999997</v>
      </c>
      <c r="H24" s="481">
        <v>457945.49199999997</v>
      </c>
      <c r="I24" s="475">
        <f t="shared" si="0"/>
        <v>0</v>
      </c>
      <c r="J24" s="475"/>
      <c r="K24" s="476">
        <f>G24</f>
        <v>457945.49199999997</v>
      </c>
      <c r="L24" s="550">
        <f t="shared" ref="L24" si="10">IF(K24&lt;&gt;0,+G24-K24,0)</f>
        <v>0</v>
      </c>
      <c r="M24" s="476">
        <f>H24</f>
        <v>457945.49199999997</v>
      </c>
      <c r="N24" s="478">
        <f t="shared" ref="N24" si="11">IF(M24&lt;&gt;0,+H24-M24,0)</f>
        <v>0</v>
      </c>
      <c r="O24" s="478">
        <f t="shared" ref="O24" si="12">+N24-L24</f>
        <v>0</v>
      </c>
      <c r="P24" s="243"/>
    </row>
    <row r="25" spans="2:16">
      <c r="B25" s="160" t="str">
        <f t="shared" si="6"/>
        <v/>
      </c>
      <c r="C25" s="472">
        <f>IF(D11="","-",+C24+1)</f>
        <v>2020</v>
      </c>
      <c r="D25" s="473">
        <v>2840971.5450078039</v>
      </c>
      <c r="E25" s="480">
        <v>78708.741428571433</v>
      </c>
      <c r="F25" s="473">
        <v>2762262.8035792327</v>
      </c>
      <c r="G25" s="480">
        <v>381296.77932523622</v>
      </c>
      <c r="H25" s="481">
        <v>381296.77932523622</v>
      </c>
      <c r="I25" s="475">
        <f t="shared" si="0"/>
        <v>0</v>
      </c>
      <c r="J25" s="475"/>
      <c r="K25" s="476">
        <f>G25</f>
        <v>381296.77932523622</v>
      </c>
      <c r="L25" s="550">
        <f t="shared" ref="L25" si="13">IF(K25&lt;&gt;0,+G25-K25,0)</f>
        <v>0</v>
      </c>
      <c r="M25" s="476">
        <f>H25</f>
        <v>381296.77932523622</v>
      </c>
      <c r="N25" s="478">
        <f t="shared" si="4"/>
        <v>0</v>
      </c>
      <c r="O25" s="478">
        <f t="shared" si="5"/>
        <v>0</v>
      </c>
      <c r="P25" s="243"/>
    </row>
    <row r="26" spans="2:16">
      <c r="B26" s="160" t="str">
        <f t="shared" si="6"/>
        <v>IU</v>
      </c>
      <c r="C26" s="472">
        <f>IF(D11="","-",+C25+1)</f>
        <v>2021</v>
      </c>
      <c r="D26" s="473">
        <v>2753080.1170792324</v>
      </c>
      <c r="E26" s="480">
        <v>76878.305581395354</v>
      </c>
      <c r="F26" s="473">
        <v>2676201.8114978368</v>
      </c>
      <c r="G26" s="480">
        <v>365431.30558139534</v>
      </c>
      <c r="H26" s="481">
        <v>365431.30558139534</v>
      </c>
      <c r="I26" s="475">
        <f t="shared" si="0"/>
        <v>0</v>
      </c>
      <c r="J26" s="475"/>
      <c r="K26" s="476">
        <f>G26</f>
        <v>365431.30558139534</v>
      </c>
      <c r="L26" s="550">
        <f t="shared" ref="L26" si="14">IF(K26&lt;&gt;0,+G26-K26,0)</f>
        <v>0</v>
      </c>
      <c r="M26" s="476">
        <f>H26</f>
        <v>365431.30558139534</v>
      </c>
      <c r="N26" s="478">
        <f t="shared" si="4"/>
        <v>0</v>
      </c>
      <c r="O26" s="478">
        <f t="shared" si="5"/>
        <v>0</v>
      </c>
      <c r="P26" s="243"/>
    </row>
    <row r="27" spans="2:16">
      <c r="B27" s="160" t="str">
        <f t="shared" si="6"/>
        <v>IU</v>
      </c>
      <c r="C27" s="472">
        <f>IF(D11="","-",+C26+1)</f>
        <v>2022</v>
      </c>
      <c r="D27" s="473">
        <v>2685384.4979978371</v>
      </c>
      <c r="E27" s="480">
        <v>78708.741428571433</v>
      </c>
      <c r="F27" s="473">
        <v>2606675.7565692659</v>
      </c>
      <c r="G27" s="480">
        <v>359737.7414285714</v>
      </c>
      <c r="H27" s="481">
        <v>359737.7414285714</v>
      </c>
      <c r="I27" s="475">
        <f t="shared" si="0"/>
        <v>0</v>
      </c>
      <c r="J27" s="475"/>
      <c r="K27" s="476">
        <f>G27</f>
        <v>359737.7414285714</v>
      </c>
      <c r="L27" s="550">
        <f t="shared" ref="L27" si="15">IF(K27&lt;&gt;0,+G27-K27,0)</f>
        <v>0</v>
      </c>
      <c r="M27" s="476">
        <f>H27</f>
        <v>359737.7414285714</v>
      </c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/>
      </c>
      <c r="C28" s="472">
        <f>IF(D11="","-",+C27+1)</f>
        <v>2023</v>
      </c>
      <c r="D28" s="485">
        <f>IF(F27+SUM(E$17:E27)=D$10,F27,D$10-SUM(E$17:E27))</f>
        <v>2606675.7565692659</v>
      </c>
      <c r="E28" s="484">
        <f>IF(+I14&lt;F27,I14,D28)</f>
        <v>78708.741428571433</v>
      </c>
      <c r="F28" s="485">
        <f t="shared" ref="F28:F48" si="16">+D28-E28</f>
        <v>2527967.0151406946</v>
      </c>
      <c r="G28" s="486">
        <f t="shared" ref="G28:G72" si="17">(D28+F28)/2*I$12+E28</f>
        <v>355494.85842519708</v>
      </c>
      <c r="H28" s="455">
        <f t="shared" ref="H28:H72" si="18">+(D28+F28)/2*I$13+E28</f>
        <v>355494.85842519708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/>
      </c>
      <c r="C29" s="472">
        <f>IF(D11="","-",+C28+1)</f>
        <v>2024</v>
      </c>
      <c r="D29" s="485">
        <f>IF(F28+SUM(E$17:E28)=D$10,F28,D$10-SUM(E$17:E28))</f>
        <v>2527967.0151406946</v>
      </c>
      <c r="E29" s="484">
        <f>IF(+I14&lt;F28,I14,D29)</f>
        <v>78708.741428571433</v>
      </c>
      <c r="F29" s="485">
        <f t="shared" si="16"/>
        <v>2449258.2737121233</v>
      </c>
      <c r="G29" s="486">
        <f t="shared" si="17"/>
        <v>347009.17095586204</v>
      </c>
      <c r="H29" s="455">
        <f t="shared" si="18"/>
        <v>347009.17095586204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2025</v>
      </c>
      <c r="D30" s="485">
        <f>IF(F29+SUM(E$17:E29)=D$10,F29,D$10-SUM(E$17:E29))</f>
        <v>2449258.2737121233</v>
      </c>
      <c r="E30" s="484">
        <f>IF(+I14&lt;F29,I14,D30)</f>
        <v>78708.741428571433</v>
      </c>
      <c r="F30" s="485">
        <f t="shared" si="16"/>
        <v>2370549.532283552</v>
      </c>
      <c r="G30" s="486">
        <f t="shared" si="17"/>
        <v>338523.48348652682</v>
      </c>
      <c r="H30" s="455">
        <f t="shared" si="18"/>
        <v>338523.48348652682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2026</v>
      </c>
      <c r="D31" s="485">
        <f>IF(F30+SUM(E$17:E30)=D$10,F30,D$10-SUM(E$17:E30))</f>
        <v>2370549.532283552</v>
      </c>
      <c r="E31" s="484">
        <f>IF(+I14&lt;F30,I14,D31)</f>
        <v>78708.741428571433</v>
      </c>
      <c r="F31" s="485">
        <f t="shared" si="16"/>
        <v>2291840.7908549807</v>
      </c>
      <c r="G31" s="486">
        <f t="shared" si="17"/>
        <v>330037.79601719172</v>
      </c>
      <c r="H31" s="455">
        <f t="shared" si="18"/>
        <v>330037.79601719172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2027</v>
      </c>
      <c r="D32" s="485">
        <f>IF(F31+SUM(E$17:E31)=D$10,F31,D$10-SUM(E$17:E31))</f>
        <v>2291840.7908549807</v>
      </c>
      <c r="E32" s="484">
        <f>IF(+I14&lt;F31,I14,D32)</f>
        <v>78708.741428571433</v>
      </c>
      <c r="F32" s="485">
        <f t="shared" si="16"/>
        <v>2213132.0494264094</v>
      </c>
      <c r="G32" s="486">
        <f t="shared" si="17"/>
        <v>321552.10854785657</v>
      </c>
      <c r="H32" s="455">
        <f t="shared" si="18"/>
        <v>321552.10854785657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2028</v>
      </c>
      <c r="D33" s="485">
        <f>IF(F32+SUM(E$17:E32)=D$10,F32,D$10-SUM(E$17:E32))</f>
        <v>2213132.0494264094</v>
      </c>
      <c r="E33" s="484">
        <f>IF(+I14&lt;F32,I14,D33)</f>
        <v>78708.741428571433</v>
      </c>
      <c r="F33" s="485">
        <f t="shared" si="16"/>
        <v>2134423.3079978381</v>
      </c>
      <c r="G33" s="486">
        <f t="shared" si="17"/>
        <v>313066.42107852153</v>
      </c>
      <c r="H33" s="455">
        <f t="shared" si="18"/>
        <v>313066.42107852153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2029</v>
      </c>
      <c r="D34" s="485">
        <f>IF(F33+SUM(E$17:E33)=D$10,F33,D$10-SUM(E$17:E33))</f>
        <v>2134423.3079978381</v>
      </c>
      <c r="E34" s="484">
        <f>IF(+I14&lt;F33,I14,D34)</f>
        <v>78708.741428571433</v>
      </c>
      <c r="F34" s="485">
        <f t="shared" si="16"/>
        <v>2055714.5665692666</v>
      </c>
      <c r="G34" s="486">
        <f t="shared" si="17"/>
        <v>304580.73360918637</v>
      </c>
      <c r="H34" s="455">
        <f t="shared" si="18"/>
        <v>304580.73360918637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2030</v>
      </c>
      <c r="D35" s="485">
        <f>IF(F34+SUM(E$17:E34)=D$10,F34,D$10-SUM(E$17:E34))</f>
        <v>2055714.5665692666</v>
      </c>
      <c r="E35" s="484">
        <f>IF(+I14&lt;F34,I14,D35)</f>
        <v>78708.741428571433</v>
      </c>
      <c r="F35" s="485">
        <f t="shared" si="16"/>
        <v>1977005.8251406951</v>
      </c>
      <c r="G35" s="486">
        <f t="shared" si="17"/>
        <v>296095.04613985121</v>
      </c>
      <c r="H35" s="455">
        <f t="shared" si="18"/>
        <v>296095.04613985121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2031</v>
      </c>
      <c r="D36" s="485">
        <f>IF(F35+SUM(E$17:E35)=D$10,F35,D$10-SUM(E$17:E35))</f>
        <v>1977005.8251406951</v>
      </c>
      <c r="E36" s="484">
        <f>IF(+I14&lt;F35,I14,D36)</f>
        <v>78708.741428571433</v>
      </c>
      <c r="F36" s="485">
        <f t="shared" si="16"/>
        <v>1898297.0837121236</v>
      </c>
      <c r="G36" s="486">
        <f t="shared" si="17"/>
        <v>287609.35867051606</v>
      </c>
      <c r="H36" s="455">
        <f t="shared" si="18"/>
        <v>287609.35867051606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2032</v>
      </c>
      <c r="D37" s="485">
        <f>IF(F36+SUM(E$17:E36)=D$10,F36,D$10-SUM(E$17:E36))</f>
        <v>1898297.0837121236</v>
      </c>
      <c r="E37" s="484">
        <f>IF(+I14&lt;F36,I14,D37)</f>
        <v>78708.741428571433</v>
      </c>
      <c r="F37" s="485">
        <f t="shared" si="16"/>
        <v>1819588.342283552</v>
      </c>
      <c r="G37" s="486">
        <f t="shared" si="17"/>
        <v>279123.6712011809</v>
      </c>
      <c r="H37" s="455">
        <f t="shared" si="18"/>
        <v>279123.6712011809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2033</v>
      </c>
      <c r="D38" s="485">
        <f>IF(F37+SUM(E$17:E37)=D$10,F37,D$10-SUM(E$17:E37))</f>
        <v>1819588.342283552</v>
      </c>
      <c r="E38" s="484">
        <f>IF(+I14&lt;F37,I14,D38)</f>
        <v>78708.741428571433</v>
      </c>
      <c r="F38" s="485">
        <f t="shared" si="16"/>
        <v>1740879.6008549805</v>
      </c>
      <c r="G38" s="486">
        <f t="shared" si="17"/>
        <v>270637.98373184574</v>
      </c>
      <c r="H38" s="455">
        <f t="shared" si="18"/>
        <v>270637.98373184574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2034</v>
      </c>
      <c r="D39" s="485">
        <f>IF(F38+SUM(E$17:E38)=D$10,F38,D$10-SUM(E$17:E38))</f>
        <v>1740879.6008549805</v>
      </c>
      <c r="E39" s="484">
        <f>IF(+I14&lt;F38,I14,D39)</f>
        <v>78708.741428571433</v>
      </c>
      <c r="F39" s="485">
        <f t="shared" si="16"/>
        <v>1662170.859426409</v>
      </c>
      <c r="G39" s="486">
        <f t="shared" si="17"/>
        <v>262152.29626251059</v>
      </c>
      <c r="H39" s="455">
        <f t="shared" si="18"/>
        <v>262152.29626251059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2035</v>
      </c>
      <c r="D40" s="485">
        <f>IF(F39+SUM(E$17:E39)=D$10,F39,D$10-SUM(E$17:E39))</f>
        <v>1662170.859426409</v>
      </c>
      <c r="E40" s="484">
        <f>IF(+I14&lt;F39,I14,D40)</f>
        <v>78708.741428571433</v>
      </c>
      <c r="F40" s="485">
        <f t="shared" si="16"/>
        <v>1583462.1179978375</v>
      </c>
      <c r="G40" s="486">
        <f t="shared" si="17"/>
        <v>253666.60879317543</v>
      </c>
      <c r="H40" s="455">
        <f t="shared" si="18"/>
        <v>253666.60879317543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2036</v>
      </c>
      <c r="D41" s="485">
        <f>IF(F40+SUM(E$17:E40)=D$10,F40,D$10-SUM(E$17:E40))</f>
        <v>1583462.1179978375</v>
      </c>
      <c r="E41" s="484">
        <f>IF(+I14&lt;F40,I14,D41)</f>
        <v>78708.741428571433</v>
      </c>
      <c r="F41" s="485">
        <f t="shared" si="16"/>
        <v>1504753.376569266</v>
      </c>
      <c r="G41" s="486">
        <f t="shared" si="17"/>
        <v>245180.9213238403</v>
      </c>
      <c r="H41" s="455">
        <f t="shared" si="18"/>
        <v>245180.9213238403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2037</v>
      </c>
      <c r="D42" s="485">
        <f>IF(F41+SUM(E$17:E41)=D$10,F41,D$10-SUM(E$17:E41))</f>
        <v>1504753.376569266</v>
      </c>
      <c r="E42" s="484">
        <f>IF(+I14&lt;F41,I14,D42)</f>
        <v>78708.741428571433</v>
      </c>
      <c r="F42" s="485">
        <f t="shared" si="16"/>
        <v>1426044.6351406944</v>
      </c>
      <c r="G42" s="486">
        <f t="shared" si="17"/>
        <v>236695.23385450515</v>
      </c>
      <c r="H42" s="455">
        <f t="shared" si="18"/>
        <v>236695.23385450515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2038</v>
      </c>
      <c r="D43" s="485">
        <f>IF(F42+SUM(E$17:E42)=D$10,F42,D$10-SUM(E$17:E42))</f>
        <v>1426044.6351406944</v>
      </c>
      <c r="E43" s="484">
        <f>IF(+I14&lt;F42,I14,D43)</f>
        <v>78708.741428571433</v>
      </c>
      <c r="F43" s="485">
        <f t="shared" si="16"/>
        <v>1347335.8937121229</v>
      </c>
      <c r="G43" s="486">
        <f t="shared" si="17"/>
        <v>228209.54638517002</v>
      </c>
      <c r="H43" s="455">
        <f t="shared" si="18"/>
        <v>228209.54638517002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2039</v>
      </c>
      <c r="D44" s="485">
        <f>IF(F43+SUM(E$17:E43)=D$10,F43,D$10-SUM(E$17:E43))</f>
        <v>1347335.8937121229</v>
      </c>
      <c r="E44" s="484">
        <f>IF(+I14&lt;F43,I14,D44)</f>
        <v>78708.741428571433</v>
      </c>
      <c r="F44" s="485">
        <f t="shared" si="16"/>
        <v>1268627.1522835514</v>
      </c>
      <c r="G44" s="486">
        <f t="shared" si="17"/>
        <v>219723.85891583483</v>
      </c>
      <c r="H44" s="455">
        <f t="shared" si="18"/>
        <v>219723.85891583483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2040</v>
      </c>
      <c r="D45" s="485">
        <f>IF(F44+SUM(E$17:E44)=D$10,F44,D$10-SUM(E$17:E44))</f>
        <v>1268627.1522835514</v>
      </c>
      <c r="E45" s="484">
        <f>IF(+I14&lt;F44,I14,D45)</f>
        <v>78708.741428571433</v>
      </c>
      <c r="F45" s="485">
        <f t="shared" si="16"/>
        <v>1189918.4108549799</v>
      </c>
      <c r="G45" s="486">
        <f t="shared" si="17"/>
        <v>211238.17144649971</v>
      </c>
      <c r="H45" s="455">
        <f t="shared" si="18"/>
        <v>211238.17144649971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2041</v>
      </c>
      <c r="D46" s="485">
        <f>IF(F45+SUM(E$17:E45)=D$10,F45,D$10-SUM(E$17:E45))</f>
        <v>1189918.4108549799</v>
      </c>
      <c r="E46" s="484">
        <f>IF(+I14&lt;F45,I14,D46)</f>
        <v>78708.741428571433</v>
      </c>
      <c r="F46" s="485">
        <f t="shared" si="16"/>
        <v>1111209.6694264084</v>
      </c>
      <c r="G46" s="486">
        <f t="shared" si="17"/>
        <v>202752.48397716455</v>
      </c>
      <c r="H46" s="455">
        <f t="shared" si="18"/>
        <v>202752.48397716455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2042</v>
      </c>
      <c r="D47" s="485">
        <f>IF(F46+SUM(E$17:E46)=D$10,F46,D$10-SUM(E$17:E46))</f>
        <v>1111209.6694264084</v>
      </c>
      <c r="E47" s="484">
        <f>IF(+I14&lt;F46,I14,D47)</f>
        <v>78708.741428571433</v>
      </c>
      <c r="F47" s="485">
        <f t="shared" si="16"/>
        <v>1032500.927997837</v>
      </c>
      <c r="G47" s="486">
        <f t="shared" si="17"/>
        <v>194266.79650782942</v>
      </c>
      <c r="H47" s="455">
        <f t="shared" si="18"/>
        <v>194266.79650782942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2043</v>
      </c>
      <c r="D48" s="485">
        <f>IF(F47+SUM(E$17:E47)=D$10,F47,D$10-SUM(E$17:E47))</f>
        <v>1032500.927997837</v>
      </c>
      <c r="E48" s="484">
        <f>IF(+I14&lt;F47,I14,D48)</f>
        <v>78708.741428571433</v>
      </c>
      <c r="F48" s="485">
        <f t="shared" si="16"/>
        <v>953792.18656926556</v>
      </c>
      <c r="G48" s="486">
        <f t="shared" si="17"/>
        <v>185781.10903849429</v>
      </c>
      <c r="H48" s="455">
        <f t="shared" si="18"/>
        <v>185781.10903849429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2044</v>
      </c>
      <c r="D49" s="485">
        <f>IF(F48+SUM(E$17:E48)=D$10,F48,D$10-SUM(E$17:E48))</f>
        <v>953792.18656926556</v>
      </c>
      <c r="E49" s="484">
        <f>IF(+I14&lt;F48,I14,D49)</f>
        <v>78708.741428571433</v>
      </c>
      <c r="F49" s="485">
        <f t="shared" ref="F49:F72" si="19">+D49-E49</f>
        <v>875083.44514069415</v>
      </c>
      <c r="G49" s="486">
        <f t="shared" si="17"/>
        <v>177295.42156915914</v>
      </c>
      <c r="H49" s="455">
        <f t="shared" si="18"/>
        <v>177295.42156915914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3"/>
    </row>
    <row r="50" spans="2:16">
      <c r="B50" s="160" t="str">
        <f t="shared" ref="B50:B72" si="24">IF(D50=F49,"","IU")</f>
        <v/>
      </c>
      <c r="C50" s="472">
        <f>IF(D11="","-",+C49+1)</f>
        <v>2045</v>
      </c>
      <c r="D50" s="485">
        <f>IF(F49+SUM(E$17:E49)=D$10,F49,D$10-SUM(E$17:E49))</f>
        <v>875083.44514069415</v>
      </c>
      <c r="E50" s="484">
        <f>IF(+I14&lt;F49,I14,D50)</f>
        <v>78708.741428571433</v>
      </c>
      <c r="F50" s="485">
        <f t="shared" si="19"/>
        <v>796374.70371212275</v>
      </c>
      <c r="G50" s="486">
        <f t="shared" si="17"/>
        <v>168809.73409982398</v>
      </c>
      <c r="H50" s="455">
        <f t="shared" si="18"/>
        <v>168809.73409982398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24"/>
        <v/>
      </c>
      <c r="C51" s="472">
        <f>IF(D11="","-",+C50+1)</f>
        <v>2046</v>
      </c>
      <c r="D51" s="485">
        <f>IF(F50+SUM(E$17:E50)=D$10,F50,D$10-SUM(E$17:E50))</f>
        <v>796374.70371212275</v>
      </c>
      <c r="E51" s="484">
        <f>IF(+I14&lt;F50,I14,D51)</f>
        <v>78708.741428571433</v>
      </c>
      <c r="F51" s="485">
        <f t="shared" si="19"/>
        <v>717665.96228355134</v>
      </c>
      <c r="G51" s="486">
        <f t="shared" si="17"/>
        <v>160324.04663048888</v>
      </c>
      <c r="H51" s="455">
        <f t="shared" si="18"/>
        <v>160324.04663048888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24"/>
        <v/>
      </c>
      <c r="C52" s="472">
        <f>IF(D11="","-",+C51+1)</f>
        <v>2047</v>
      </c>
      <c r="D52" s="485">
        <f>IF(F51+SUM(E$17:E51)=D$10,F51,D$10-SUM(E$17:E51))</f>
        <v>717665.96228355134</v>
      </c>
      <c r="E52" s="484">
        <f>IF(+I14&lt;F51,I14,D52)</f>
        <v>78708.741428571433</v>
      </c>
      <c r="F52" s="485">
        <f t="shared" si="19"/>
        <v>638957.22085497994</v>
      </c>
      <c r="G52" s="486">
        <f t="shared" si="17"/>
        <v>151838.35916115373</v>
      </c>
      <c r="H52" s="455">
        <f t="shared" si="18"/>
        <v>151838.35916115373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24"/>
        <v/>
      </c>
      <c r="C53" s="472">
        <f>IF(D11="","-",+C52+1)</f>
        <v>2048</v>
      </c>
      <c r="D53" s="485">
        <f>IF(F52+SUM(E$17:E52)=D$10,F52,D$10-SUM(E$17:E52))</f>
        <v>638957.22085497994</v>
      </c>
      <c r="E53" s="484">
        <f>IF(+I14&lt;F52,I14,D53)</f>
        <v>78708.741428571433</v>
      </c>
      <c r="F53" s="485">
        <f t="shared" si="19"/>
        <v>560248.47942640854</v>
      </c>
      <c r="G53" s="486">
        <f t="shared" si="17"/>
        <v>143352.6716918186</v>
      </c>
      <c r="H53" s="455">
        <f t="shared" si="18"/>
        <v>143352.6716918186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24"/>
        <v/>
      </c>
      <c r="C54" s="472">
        <f>IF(D11="","-",+C53+1)</f>
        <v>2049</v>
      </c>
      <c r="D54" s="485">
        <f>IF(F53+SUM(E$17:E53)=D$10,F53,D$10-SUM(E$17:E53))</f>
        <v>560248.47942640854</v>
      </c>
      <c r="E54" s="484">
        <f>IF(+I14&lt;F53,I14,D54)</f>
        <v>78708.741428571433</v>
      </c>
      <c r="F54" s="485">
        <f t="shared" si="19"/>
        <v>481539.73799783713</v>
      </c>
      <c r="G54" s="486">
        <f t="shared" si="17"/>
        <v>134866.98422248347</v>
      </c>
      <c r="H54" s="455">
        <f t="shared" si="18"/>
        <v>134866.98422248347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24"/>
        <v/>
      </c>
      <c r="C55" s="472">
        <f>IF(D11="","-",+C54+1)</f>
        <v>2050</v>
      </c>
      <c r="D55" s="485">
        <f>IF(F54+SUM(E$17:E54)=D$10,F54,D$10-SUM(E$17:E54))</f>
        <v>481539.73799783713</v>
      </c>
      <c r="E55" s="484">
        <f>IF(+I14&lt;F54,I14,D55)</f>
        <v>78708.741428571433</v>
      </c>
      <c r="F55" s="485">
        <f t="shared" si="19"/>
        <v>402830.99656926573</v>
      </c>
      <c r="G55" s="486">
        <f t="shared" si="17"/>
        <v>126381.29675314832</v>
      </c>
      <c r="H55" s="455">
        <f t="shared" si="18"/>
        <v>126381.29675314832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24"/>
        <v/>
      </c>
      <c r="C56" s="472">
        <f>IF(D11="","-",+C55+1)</f>
        <v>2051</v>
      </c>
      <c r="D56" s="485">
        <f>IF(F55+SUM(E$17:E55)=D$10,F55,D$10-SUM(E$17:E55))</f>
        <v>402830.99656926573</v>
      </c>
      <c r="E56" s="484">
        <f>IF(+I14&lt;F55,I14,D56)</f>
        <v>78708.741428571433</v>
      </c>
      <c r="F56" s="485">
        <f t="shared" si="19"/>
        <v>324122.25514069432</v>
      </c>
      <c r="G56" s="486">
        <f t="shared" si="17"/>
        <v>117895.60928381319</v>
      </c>
      <c r="H56" s="455">
        <f t="shared" si="18"/>
        <v>117895.60928381319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24"/>
        <v/>
      </c>
      <c r="C57" s="472">
        <f>IF(D11="","-",+C56+1)</f>
        <v>2052</v>
      </c>
      <c r="D57" s="485">
        <f>IF(F56+SUM(E$17:E56)=D$10,F56,D$10-SUM(E$17:E56))</f>
        <v>324122.25514069432</v>
      </c>
      <c r="E57" s="484">
        <f>IF(+I14&lt;F56,I14,D57)</f>
        <v>78708.741428571433</v>
      </c>
      <c r="F57" s="485">
        <f t="shared" si="19"/>
        <v>245413.51371212289</v>
      </c>
      <c r="G57" s="486">
        <f t="shared" si="17"/>
        <v>109409.92181447805</v>
      </c>
      <c r="H57" s="455">
        <f t="shared" si="18"/>
        <v>109409.92181447805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24"/>
        <v/>
      </c>
      <c r="C58" s="472">
        <f>IF(D11="","-",+C57+1)</f>
        <v>2053</v>
      </c>
      <c r="D58" s="485">
        <f>IF(F57+SUM(E$17:E57)=D$10,F57,D$10-SUM(E$17:E57))</f>
        <v>245413.51371212289</v>
      </c>
      <c r="E58" s="484">
        <f>IF(+I14&lt;F57,I14,D58)</f>
        <v>78708.741428571433</v>
      </c>
      <c r="F58" s="485">
        <f t="shared" si="19"/>
        <v>166704.77228355146</v>
      </c>
      <c r="G58" s="486">
        <f t="shared" si="17"/>
        <v>100924.2343451429</v>
      </c>
      <c r="H58" s="455">
        <f t="shared" si="18"/>
        <v>100924.2343451429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24"/>
        <v/>
      </c>
      <c r="C59" s="472">
        <f>IF(D11="","-",+C58+1)</f>
        <v>2054</v>
      </c>
      <c r="D59" s="485">
        <f>IF(F58+SUM(E$17:E58)=D$10,F58,D$10-SUM(E$17:E58))</f>
        <v>166704.77228355146</v>
      </c>
      <c r="E59" s="484">
        <f>IF(+I14&lt;F58,I14,D59)</f>
        <v>78708.741428571433</v>
      </c>
      <c r="F59" s="485">
        <f t="shared" si="19"/>
        <v>87996.030854980025</v>
      </c>
      <c r="G59" s="486">
        <f t="shared" si="17"/>
        <v>92438.546875807777</v>
      </c>
      <c r="H59" s="455">
        <f t="shared" si="18"/>
        <v>92438.546875807777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24"/>
        <v/>
      </c>
      <c r="C60" s="472">
        <f>IF(D11="","-",+C59+1)</f>
        <v>2055</v>
      </c>
      <c r="D60" s="485">
        <f>IF(F59+SUM(E$17:E59)=D$10,F59,D$10-SUM(E$17:E59))</f>
        <v>87996.030854980025</v>
      </c>
      <c r="E60" s="484">
        <f>IF(+I14&lt;F59,I14,D60)</f>
        <v>78708.741428571433</v>
      </c>
      <c r="F60" s="485">
        <f t="shared" si="19"/>
        <v>9287.2894264085917</v>
      </c>
      <c r="G60" s="486">
        <f t="shared" si="17"/>
        <v>83952.859406472635</v>
      </c>
      <c r="H60" s="455">
        <f t="shared" si="18"/>
        <v>83952.859406472635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24"/>
        <v/>
      </c>
      <c r="C61" s="472">
        <f>IF(D11="","-",+C60+1)</f>
        <v>2056</v>
      </c>
      <c r="D61" s="485">
        <f>IF(F60+SUM(E$17:E60)=D$10,F60,D$10-SUM(E$17:E60))</f>
        <v>9287.2894264085917</v>
      </c>
      <c r="E61" s="484">
        <f>IF(+I14&lt;F60,I14,D61)</f>
        <v>9287.2894264085917</v>
      </c>
      <c r="F61" s="485">
        <f t="shared" si="19"/>
        <v>0</v>
      </c>
      <c r="G61" s="486">
        <f t="shared" si="17"/>
        <v>9787.9265480254053</v>
      </c>
      <c r="H61" s="455">
        <f t="shared" si="18"/>
        <v>9787.9265480254053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24"/>
        <v/>
      </c>
      <c r="C62" s="472">
        <f>IF(D11="","-",+C61+1)</f>
        <v>2057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9"/>
        <v>0</v>
      </c>
      <c r="G62" s="486">
        <f t="shared" si="17"/>
        <v>0</v>
      </c>
      <c r="H62" s="455">
        <f t="shared" si="18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24"/>
        <v/>
      </c>
      <c r="C63" s="472">
        <f>IF(D11="","-",+C62+1)</f>
        <v>2058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9"/>
        <v>0</v>
      </c>
      <c r="G63" s="486">
        <f t="shared" si="17"/>
        <v>0</v>
      </c>
      <c r="H63" s="455">
        <f t="shared" si="18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24"/>
        <v/>
      </c>
      <c r="C64" s="472">
        <f>IF(D11="","-",+C63+1)</f>
        <v>2059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6">
        <f t="shared" si="17"/>
        <v>0</v>
      </c>
      <c r="H64" s="455">
        <f t="shared" si="18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24"/>
        <v/>
      </c>
      <c r="C65" s="472">
        <f>IF(D11="","-",+C64+1)</f>
        <v>2060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6">
        <f t="shared" si="17"/>
        <v>0</v>
      </c>
      <c r="H65" s="455">
        <f t="shared" si="18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24"/>
        <v/>
      </c>
      <c r="C66" s="472">
        <f>IF(D11="","-",+C65+1)</f>
        <v>2061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6">
        <f t="shared" si="17"/>
        <v>0</v>
      </c>
      <c r="H66" s="455">
        <f t="shared" si="18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24"/>
        <v/>
      </c>
      <c r="C67" s="472">
        <f>IF(D11="","-",+C66+1)</f>
        <v>2062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6">
        <f t="shared" si="17"/>
        <v>0</v>
      </c>
      <c r="H67" s="455">
        <f t="shared" si="18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24"/>
        <v/>
      </c>
      <c r="C68" s="472">
        <f>IF(D11="","-",+C67+1)</f>
        <v>2063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6">
        <f t="shared" si="17"/>
        <v>0</v>
      </c>
      <c r="H68" s="455">
        <f t="shared" si="18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24"/>
        <v/>
      </c>
      <c r="C69" s="472">
        <f>IF(D11="","-",+C68+1)</f>
        <v>2064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6">
        <f t="shared" si="17"/>
        <v>0</v>
      </c>
      <c r="H69" s="455">
        <f t="shared" si="18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24"/>
        <v/>
      </c>
      <c r="C70" s="472">
        <f>IF(D11="","-",+C69+1)</f>
        <v>2065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6">
        <f t="shared" si="17"/>
        <v>0</v>
      </c>
      <c r="H70" s="455">
        <f t="shared" si="18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24"/>
        <v/>
      </c>
      <c r="C71" s="472">
        <f>IF(D11="","-",+C70+1)</f>
        <v>2066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6">
        <f t="shared" si="17"/>
        <v>0</v>
      </c>
      <c r="H71" s="455">
        <f t="shared" si="18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24"/>
        <v/>
      </c>
      <c r="C72" s="489">
        <f>IF(D11="","-",+C71+1)</f>
        <v>2067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0">
        <f t="shared" si="17"/>
        <v>0</v>
      </c>
      <c r="H72" s="490">
        <f t="shared" si="18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3305767.1399999992</v>
      </c>
      <c r="F73" s="348"/>
      <c r="G73" s="348">
        <f>SUM(G17:G72)</f>
        <v>11794755.148525892</v>
      </c>
      <c r="H73" s="348">
        <f>SUM(H17:H72)</f>
        <v>11794755.148525892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12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359737.7414285714</v>
      </c>
      <c r="N87" s="508">
        <f>IF(J92&lt;D11,0,VLOOKUP(J92,C17:O72,11))</f>
        <v>359737.7414285714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372729.18001760636</v>
      </c>
      <c r="N88" s="512">
        <f>IF(J92&lt;D11,0,VLOOKUP(J92,C99:P154,7))</f>
        <v>372729.18001760636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Canadian River - McAlester City 138 kV Line Conversion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12991.438589034951</v>
      </c>
      <c r="N89" s="517">
        <f>+N88-N87</f>
        <v>12991.438589034951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TP2009095-PSO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3305767.14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704">
        <v>2012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8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84763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470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2012</v>
      </c>
      <c r="D99" s="578">
        <f>IF(D93=C99,0,D92)</f>
        <v>0</v>
      </c>
      <c r="E99" s="579">
        <v>1616</v>
      </c>
      <c r="F99" s="580">
        <v>502209</v>
      </c>
      <c r="G99" s="581">
        <v>251209</v>
      </c>
      <c r="H99" s="582">
        <v>37753</v>
      </c>
      <c r="I99" s="583">
        <v>37753</v>
      </c>
      <c r="J99" s="478">
        <f t="shared" ref="J99:J130" si="25">+I99-H99</f>
        <v>0</v>
      </c>
      <c r="K99" s="574"/>
      <c r="L99" s="567">
        <f t="shared" ref="L99:L104" si="26">H99</f>
        <v>37753</v>
      </c>
      <c r="M99" s="575">
        <f t="shared" ref="M99:M104" si="27">IF(L99&lt;&gt;0,+H99-L99,0)</f>
        <v>0</v>
      </c>
      <c r="N99" s="567">
        <f t="shared" ref="N99:N104" si="28">I99</f>
        <v>37753</v>
      </c>
      <c r="O99" s="349">
        <f t="shared" ref="O99:O104" si="29">IF(N99&lt;&gt;0,+I99-N99,0)</f>
        <v>0</v>
      </c>
      <c r="P99" s="477">
        <f t="shared" ref="P99:P104" si="30">+O99-M99</f>
        <v>0</v>
      </c>
    </row>
    <row r="100" spans="1:16">
      <c r="B100" s="160" t="str">
        <f t="shared" ref="B100:B131" si="31">IF(D100=F99,"","IU")</f>
        <v>IU</v>
      </c>
      <c r="C100" s="472">
        <f>IF(D93="","-",+C99+1)</f>
        <v>2013</v>
      </c>
      <c r="D100" s="584">
        <v>3240518</v>
      </c>
      <c r="E100" s="585">
        <v>62349</v>
      </c>
      <c r="F100" s="586">
        <v>3178169</v>
      </c>
      <c r="G100" s="586">
        <v>3209343.5</v>
      </c>
      <c r="H100" s="585">
        <v>524300.60020262119</v>
      </c>
      <c r="I100" s="587">
        <v>524300.60020262119</v>
      </c>
      <c r="J100" s="478">
        <v>0</v>
      </c>
      <c r="K100" s="574"/>
      <c r="L100" s="540">
        <f t="shared" si="26"/>
        <v>524300.60020262119</v>
      </c>
      <c r="M100" s="575">
        <f t="shared" si="27"/>
        <v>0</v>
      </c>
      <c r="N100" s="540">
        <f t="shared" si="28"/>
        <v>524300.60020262119</v>
      </c>
      <c r="O100" s="349">
        <f t="shared" si="29"/>
        <v>0</v>
      </c>
      <c r="P100" s="478">
        <f t="shared" si="30"/>
        <v>0</v>
      </c>
    </row>
    <row r="101" spans="1:16">
      <c r="B101" s="160" t="str">
        <f t="shared" si="31"/>
        <v>IU</v>
      </c>
      <c r="C101" s="472">
        <f>IF(D93="","-",+C100+1)</f>
        <v>2014</v>
      </c>
      <c r="D101" s="584">
        <v>3241802.14</v>
      </c>
      <c r="E101" s="585">
        <v>63572</v>
      </c>
      <c r="F101" s="586">
        <v>3178230.14</v>
      </c>
      <c r="G101" s="586">
        <v>3210016.14</v>
      </c>
      <c r="H101" s="585">
        <v>514887.14751698606</v>
      </c>
      <c r="I101" s="587">
        <v>514887.14751698606</v>
      </c>
      <c r="J101" s="478">
        <v>0</v>
      </c>
      <c r="K101" s="574"/>
      <c r="L101" s="540">
        <f t="shared" si="26"/>
        <v>514887.14751698606</v>
      </c>
      <c r="M101" s="575">
        <f t="shared" si="27"/>
        <v>0</v>
      </c>
      <c r="N101" s="540">
        <f t="shared" si="28"/>
        <v>514887.14751698606</v>
      </c>
      <c r="O101" s="349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72">
        <f>IF(D93="","-",+C101+1)</f>
        <v>2015</v>
      </c>
      <c r="D102" s="584">
        <v>3178230.14</v>
      </c>
      <c r="E102" s="585">
        <v>63572</v>
      </c>
      <c r="F102" s="586">
        <v>3114658.14</v>
      </c>
      <c r="G102" s="586">
        <v>3146444.14</v>
      </c>
      <c r="H102" s="585">
        <v>492879.0042454137</v>
      </c>
      <c r="I102" s="587">
        <v>492879.0042454137</v>
      </c>
      <c r="J102" s="478">
        <f t="shared" si="25"/>
        <v>0</v>
      </c>
      <c r="K102" s="478"/>
      <c r="L102" s="540">
        <f t="shared" si="26"/>
        <v>492879.0042454137</v>
      </c>
      <c r="M102" s="575">
        <f t="shared" si="27"/>
        <v>0</v>
      </c>
      <c r="N102" s="540">
        <f t="shared" si="28"/>
        <v>492879.0042454137</v>
      </c>
      <c r="O102" s="349">
        <f t="shared" si="29"/>
        <v>0</v>
      </c>
      <c r="P102" s="478">
        <f t="shared" si="30"/>
        <v>0</v>
      </c>
    </row>
    <row r="103" spans="1:16">
      <c r="B103" s="160" t="str">
        <f t="shared" si="31"/>
        <v/>
      </c>
      <c r="C103" s="472">
        <f>IF(D93="","-",+C102+1)</f>
        <v>2016</v>
      </c>
      <c r="D103" s="584">
        <v>3114658.14</v>
      </c>
      <c r="E103" s="585">
        <v>71865</v>
      </c>
      <c r="F103" s="586">
        <v>3042793.14</v>
      </c>
      <c r="G103" s="586">
        <v>3078725.64</v>
      </c>
      <c r="H103" s="585">
        <v>468761.221459263</v>
      </c>
      <c r="I103" s="587">
        <v>468761.221459263</v>
      </c>
      <c r="J103" s="478">
        <f t="shared" si="25"/>
        <v>0</v>
      </c>
      <c r="K103" s="478"/>
      <c r="L103" s="540">
        <f t="shared" si="26"/>
        <v>468761.221459263</v>
      </c>
      <c r="M103" s="575">
        <f t="shared" si="27"/>
        <v>0</v>
      </c>
      <c r="N103" s="540">
        <f t="shared" si="28"/>
        <v>468761.221459263</v>
      </c>
      <c r="O103" s="349">
        <f t="shared" si="29"/>
        <v>0</v>
      </c>
      <c r="P103" s="478">
        <f t="shared" si="30"/>
        <v>0</v>
      </c>
    </row>
    <row r="104" spans="1:16">
      <c r="B104" s="160" t="str">
        <f t="shared" si="31"/>
        <v/>
      </c>
      <c r="C104" s="472">
        <f>IF(D93="","-",+C103+1)</f>
        <v>2017</v>
      </c>
      <c r="D104" s="584">
        <v>3042793.14</v>
      </c>
      <c r="E104" s="585">
        <v>71865</v>
      </c>
      <c r="F104" s="586">
        <v>2970928.14</v>
      </c>
      <c r="G104" s="586">
        <v>3006860.64</v>
      </c>
      <c r="H104" s="585">
        <v>453292.85398579738</v>
      </c>
      <c r="I104" s="587">
        <v>453292.85398579738</v>
      </c>
      <c r="J104" s="478">
        <f t="shared" si="25"/>
        <v>0</v>
      </c>
      <c r="K104" s="478"/>
      <c r="L104" s="540">
        <f t="shared" si="26"/>
        <v>453292.85398579738</v>
      </c>
      <c r="M104" s="575">
        <f t="shared" si="27"/>
        <v>0</v>
      </c>
      <c r="N104" s="540">
        <f t="shared" si="28"/>
        <v>453292.85398579738</v>
      </c>
      <c r="O104" s="349">
        <f t="shared" si="29"/>
        <v>0</v>
      </c>
      <c r="P104" s="478">
        <f t="shared" si="30"/>
        <v>0</v>
      </c>
    </row>
    <row r="105" spans="1:16">
      <c r="B105" s="160" t="str">
        <f t="shared" si="31"/>
        <v/>
      </c>
      <c r="C105" s="472">
        <f>IF(D93="","-",+C104+1)</f>
        <v>2018</v>
      </c>
      <c r="D105" s="584">
        <v>2970928.14</v>
      </c>
      <c r="E105" s="585">
        <v>76878</v>
      </c>
      <c r="F105" s="586">
        <v>2894050.14</v>
      </c>
      <c r="G105" s="586">
        <v>2932489.14</v>
      </c>
      <c r="H105" s="585">
        <v>378148.93401168124</v>
      </c>
      <c r="I105" s="587">
        <v>378148.93401168124</v>
      </c>
      <c r="J105" s="478">
        <f t="shared" si="25"/>
        <v>0</v>
      </c>
      <c r="K105" s="478"/>
      <c r="L105" s="540">
        <f t="shared" ref="L105" si="32">H105</f>
        <v>378148.93401168124</v>
      </c>
      <c r="M105" s="575">
        <f t="shared" ref="M105" si="33">IF(L105&lt;&gt;0,+H105-L105,0)</f>
        <v>0</v>
      </c>
      <c r="N105" s="540">
        <f t="shared" ref="N105" si="34">I105</f>
        <v>378148.93401168124</v>
      </c>
      <c r="O105" s="349">
        <f t="shared" ref="O105" si="35">IF(N105&lt;&gt;0,+I105-N105,0)</f>
        <v>0</v>
      </c>
      <c r="P105" s="478">
        <f t="shared" ref="P105" si="36">+O105-M105</f>
        <v>0</v>
      </c>
    </row>
    <row r="106" spans="1:16">
      <c r="B106" s="160" t="str">
        <f t="shared" si="31"/>
        <v/>
      </c>
      <c r="C106" s="472">
        <f>IF(D93="","-",+C105+1)</f>
        <v>2019</v>
      </c>
      <c r="D106" s="584">
        <v>2894050.14</v>
      </c>
      <c r="E106" s="585">
        <v>80628</v>
      </c>
      <c r="F106" s="586">
        <v>2813422.14</v>
      </c>
      <c r="G106" s="586">
        <v>2853736.14</v>
      </c>
      <c r="H106" s="585">
        <v>374888.22276719729</v>
      </c>
      <c r="I106" s="587">
        <v>374888.22276719729</v>
      </c>
      <c r="J106" s="478">
        <f t="shared" si="25"/>
        <v>0</v>
      </c>
      <c r="K106" s="478"/>
      <c r="L106" s="540">
        <f t="shared" ref="L106" si="37">H106</f>
        <v>374888.22276719729</v>
      </c>
      <c r="M106" s="575">
        <f t="shared" ref="M106" si="38">IF(L106&lt;&gt;0,+H106-L106,0)</f>
        <v>0</v>
      </c>
      <c r="N106" s="540">
        <f t="shared" ref="N106" si="39">I106</f>
        <v>374888.22276719729</v>
      </c>
      <c r="O106" s="478">
        <f t="shared" ref="O106:O130" si="40">IF(N106&lt;&gt;0,+I106-N106,0)</f>
        <v>0</v>
      </c>
      <c r="P106" s="478">
        <f t="shared" ref="P106:P130" si="41">+O106-M106</f>
        <v>0</v>
      </c>
    </row>
    <row r="107" spans="1:16">
      <c r="B107" s="160" t="str">
        <f t="shared" si="31"/>
        <v/>
      </c>
      <c r="C107" s="472">
        <f>IF(D93="","-",+C106+1)</f>
        <v>2020</v>
      </c>
      <c r="D107" s="584">
        <v>2813422.14</v>
      </c>
      <c r="E107" s="585">
        <v>76878</v>
      </c>
      <c r="F107" s="586">
        <v>2736544.14</v>
      </c>
      <c r="G107" s="586">
        <v>2774983.14</v>
      </c>
      <c r="H107" s="585">
        <v>396825.92685492127</v>
      </c>
      <c r="I107" s="587">
        <v>396825.92685492127</v>
      </c>
      <c r="J107" s="478">
        <f t="shared" si="25"/>
        <v>0</v>
      </c>
      <c r="K107" s="478"/>
      <c r="L107" s="540">
        <f t="shared" ref="L107" si="42">H107</f>
        <v>396825.92685492127</v>
      </c>
      <c r="M107" s="575">
        <f t="shared" ref="M107" si="43">IF(L107&lt;&gt;0,+H107-L107,0)</f>
        <v>0</v>
      </c>
      <c r="N107" s="540">
        <f t="shared" ref="N107" si="44">I107</f>
        <v>396825.92685492127</v>
      </c>
      <c r="O107" s="478">
        <f t="shared" si="40"/>
        <v>0</v>
      </c>
      <c r="P107" s="478">
        <f t="shared" si="41"/>
        <v>0</v>
      </c>
    </row>
    <row r="108" spans="1:16">
      <c r="B108" s="160" t="str">
        <f t="shared" si="31"/>
        <v/>
      </c>
      <c r="C108" s="472">
        <f>IF(D93="","-",+C107+1)</f>
        <v>2021</v>
      </c>
      <c r="D108" s="584">
        <v>2736544.14</v>
      </c>
      <c r="E108" s="585">
        <v>80628</v>
      </c>
      <c r="F108" s="586">
        <v>2655916.14</v>
      </c>
      <c r="G108" s="586">
        <v>2696230.14</v>
      </c>
      <c r="H108" s="585">
        <v>387439.55828621471</v>
      </c>
      <c r="I108" s="587">
        <v>387439.55828621471</v>
      </c>
      <c r="J108" s="478">
        <f t="shared" si="25"/>
        <v>0</v>
      </c>
      <c r="K108" s="478"/>
      <c r="L108" s="540">
        <f t="shared" ref="L108" si="45">H108</f>
        <v>387439.55828621471</v>
      </c>
      <c r="M108" s="575">
        <f t="shared" ref="M108" si="46">IF(L108&lt;&gt;0,+H108-L108,0)</f>
        <v>0</v>
      </c>
      <c r="N108" s="540">
        <f t="shared" ref="N108" si="47">I108</f>
        <v>387439.55828621471</v>
      </c>
      <c r="O108" s="478">
        <f t="shared" si="40"/>
        <v>0</v>
      </c>
      <c r="P108" s="478">
        <f t="shared" si="41"/>
        <v>0</v>
      </c>
    </row>
    <row r="109" spans="1:16">
      <c r="B109" s="160" t="str">
        <f t="shared" si="31"/>
        <v/>
      </c>
      <c r="C109" s="472">
        <f>IF(D93="","-",+C108+1)</f>
        <v>2022</v>
      </c>
      <c r="D109" s="347">
        <f>IF(F108+SUM(E$99:E108)=D$92,F108,D$92-SUM(E$99:E108))</f>
        <v>2655916.14</v>
      </c>
      <c r="E109" s="486">
        <f t="shared" ref="E109:E154" si="48">IF(+J$96&lt;F108,J$96,D109)</f>
        <v>84763</v>
      </c>
      <c r="F109" s="485">
        <f t="shared" ref="F109:F154" si="49">+D109-E109</f>
        <v>2571153.14</v>
      </c>
      <c r="G109" s="485">
        <f t="shared" ref="G109:G154" si="50">+(F109+D109)/2</f>
        <v>2613534.64</v>
      </c>
      <c r="H109" s="486">
        <f t="shared" ref="H109:H153" si="51">(D109+F109)/2*J$94+E109</f>
        <v>372729.18001760636</v>
      </c>
      <c r="I109" s="542">
        <f t="shared" ref="I109:I153" si="52">+J$95*G109+E109</f>
        <v>372729.18001760636</v>
      </c>
      <c r="J109" s="478">
        <f t="shared" si="25"/>
        <v>0</v>
      </c>
      <c r="K109" s="478"/>
      <c r="L109" s="487"/>
      <c r="M109" s="478">
        <f t="shared" ref="M109:M130" si="53">IF(L109&lt;&gt;0,+H109-L109,0)</f>
        <v>0</v>
      </c>
      <c r="N109" s="487"/>
      <c r="O109" s="478">
        <f t="shared" si="40"/>
        <v>0</v>
      </c>
      <c r="P109" s="478">
        <f t="shared" si="41"/>
        <v>0</v>
      </c>
    </row>
    <row r="110" spans="1:16">
      <c r="B110" s="160" t="str">
        <f t="shared" si="31"/>
        <v/>
      </c>
      <c r="C110" s="472">
        <f>IF(D93="","-",+C109+1)</f>
        <v>2023</v>
      </c>
      <c r="D110" s="347">
        <f>IF(F109+SUM(E$99:E109)=D$92,F109,D$92-SUM(E$99:E109))</f>
        <v>2571153.14</v>
      </c>
      <c r="E110" s="486">
        <f t="shared" si="48"/>
        <v>84763</v>
      </c>
      <c r="F110" s="485">
        <f t="shared" si="49"/>
        <v>2486390.14</v>
      </c>
      <c r="G110" s="485">
        <f t="shared" si="50"/>
        <v>2528771.64</v>
      </c>
      <c r="H110" s="486">
        <f t="shared" si="51"/>
        <v>363389.76781190763</v>
      </c>
      <c r="I110" s="542">
        <f t="shared" si="52"/>
        <v>363389.76781190763</v>
      </c>
      <c r="J110" s="478">
        <f t="shared" si="25"/>
        <v>0</v>
      </c>
      <c r="K110" s="478"/>
      <c r="L110" s="487"/>
      <c r="M110" s="478">
        <f t="shared" si="53"/>
        <v>0</v>
      </c>
      <c r="N110" s="487"/>
      <c r="O110" s="478">
        <f t="shared" si="40"/>
        <v>0</v>
      </c>
      <c r="P110" s="478">
        <f t="shared" si="41"/>
        <v>0</v>
      </c>
    </row>
    <row r="111" spans="1:16">
      <c r="B111" s="160" t="str">
        <f t="shared" si="31"/>
        <v/>
      </c>
      <c r="C111" s="472">
        <f>IF(D93="","-",+C110+1)</f>
        <v>2024</v>
      </c>
      <c r="D111" s="347">
        <f>IF(F110+SUM(E$99:E110)=D$92,F110,D$92-SUM(E$99:E110))</f>
        <v>2486390.14</v>
      </c>
      <c r="E111" s="486">
        <f t="shared" si="48"/>
        <v>84763</v>
      </c>
      <c r="F111" s="485">
        <f t="shared" si="49"/>
        <v>2401627.14</v>
      </c>
      <c r="G111" s="485">
        <f t="shared" si="50"/>
        <v>2444008.64</v>
      </c>
      <c r="H111" s="486">
        <f t="shared" si="51"/>
        <v>354050.3556062089</v>
      </c>
      <c r="I111" s="542">
        <f t="shared" si="52"/>
        <v>354050.3556062089</v>
      </c>
      <c r="J111" s="478">
        <f t="shared" si="25"/>
        <v>0</v>
      </c>
      <c r="K111" s="478"/>
      <c r="L111" s="487"/>
      <c r="M111" s="478">
        <f t="shared" si="53"/>
        <v>0</v>
      </c>
      <c r="N111" s="487"/>
      <c r="O111" s="478">
        <f t="shared" si="40"/>
        <v>0</v>
      </c>
      <c r="P111" s="478">
        <f t="shared" si="41"/>
        <v>0</v>
      </c>
    </row>
    <row r="112" spans="1:16">
      <c r="B112" s="160" t="str">
        <f t="shared" si="31"/>
        <v/>
      </c>
      <c r="C112" s="472">
        <f>IF(D93="","-",+C111+1)</f>
        <v>2025</v>
      </c>
      <c r="D112" s="347">
        <f>IF(F111+SUM(E$99:E111)=D$92,F111,D$92-SUM(E$99:E111))</f>
        <v>2401627.14</v>
      </c>
      <c r="E112" s="486">
        <f t="shared" si="48"/>
        <v>84763</v>
      </c>
      <c r="F112" s="485">
        <f t="shared" si="49"/>
        <v>2316864.14</v>
      </c>
      <c r="G112" s="485">
        <f t="shared" si="50"/>
        <v>2359245.64</v>
      </c>
      <c r="H112" s="486">
        <f t="shared" si="51"/>
        <v>344710.94340051024</v>
      </c>
      <c r="I112" s="542">
        <f t="shared" si="52"/>
        <v>344710.94340051024</v>
      </c>
      <c r="J112" s="478">
        <f t="shared" si="25"/>
        <v>0</v>
      </c>
      <c r="K112" s="478"/>
      <c r="L112" s="487"/>
      <c r="M112" s="478">
        <f t="shared" si="53"/>
        <v>0</v>
      </c>
      <c r="N112" s="487"/>
      <c r="O112" s="478">
        <f t="shared" si="40"/>
        <v>0</v>
      </c>
      <c r="P112" s="478">
        <f t="shared" si="41"/>
        <v>0</v>
      </c>
    </row>
    <row r="113" spans="2:16">
      <c r="B113" s="160" t="str">
        <f t="shared" si="31"/>
        <v/>
      </c>
      <c r="C113" s="472">
        <f>IF(D93="","-",+C112+1)</f>
        <v>2026</v>
      </c>
      <c r="D113" s="347">
        <f>IF(F112+SUM(E$99:E112)=D$92,F112,D$92-SUM(E$99:E112))</f>
        <v>2316864.14</v>
      </c>
      <c r="E113" s="486">
        <f t="shared" si="48"/>
        <v>84763</v>
      </c>
      <c r="F113" s="485">
        <f t="shared" si="49"/>
        <v>2232101.14</v>
      </c>
      <c r="G113" s="485">
        <f t="shared" si="50"/>
        <v>2274482.64</v>
      </c>
      <c r="H113" s="486">
        <f t="shared" si="51"/>
        <v>335371.53119481151</v>
      </c>
      <c r="I113" s="542">
        <f t="shared" si="52"/>
        <v>335371.53119481151</v>
      </c>
      <c r="J113" s="478">
        <f t="shared" si="25"/>
        <v>0</v>
      </c>
      <c r="K113" s="478"/>
      <c r="L113" s="487"/>
      <c r="M113" s="478">
        <f t="shared" si="53"/>
        <v>0</v>
      </c>
      <c r="N113" s="487"/>
      <c r="O113" s="478">
        <f t="shared" si="40"/>
        <v>0</v>
      </c>
      <c r="P113" s="478">
        <f t="shared" si="41"/>
        <v>0</v>
      </c>
    </row>
    <row r="114" spans="2:16">
      <c r="B114" s="160" t="str">
        <f t="shared" si="31"/>
        <v/>
      </c>
      <c r="C114" s="472">
        <f>IF(D93="","-",+C113+1)</f>
        <v>2027</v>
      </c>
      <c r="D114" s="347">
        <f>IF(F113+SUM(E$99:E113)=D$92,F113,D$92-SUM(E$99:E113))</f>
        <v>2232101.14</v>
      </c>
      <c r="E114" s="486">
        <f t="shared" si="48"/>
        <v>84763</v>
      </c>
      <c r="F114" s="485">
        <f t="shared" si="49"/>
        <v>2147338.14</v>
      </c>
      <c r="G114" s="485">
        <f t="shared" si="50"/>
        <v>2189719.64</v>
      </c>
      <c r="H114" s="486">
        <f t="shared" si="51"/>
        <v>326032.11898911279</v>
      </c>
      <c r="I114" s="542">
        <f t="shared" si="52"/>
        <v>326032.11898911279</v>
      </c>
      <c r="J114" s="478">
        <f t="shared" si="25"/>
        <v>0</v>
      </c>
      <c r="K114" s="478"/>
      <c r="L114" s="487"/>
      <c r="M114" s="478">
        <f t="shared" si="53"/>
        <v>0</v>
      </c>
      <c r="N114" s="487"/>
      <c r="O114" s="478">
        <f t="shared" si="40"/>
        <v>0</v>
      </c>
      <c r="P114" s="478">
        <f t="shared" si="41"/>
        <v>0</v>
      </c>
    </row>
    <row r="115" spans="2:16">
      <c r="B115" s="160" t="str">
        <f t="shared" si="31"/>
        <v/>
      </c>
      <c r="C115" s="472">
        <f>IF(D93="","-",+C114+1)</f>
        <v>2028</v>
      </c>
      <c r="D115" s="347">
        <f>IF(F114+SUM(E$99:E114)=D$92,F114,D$92-SUM(E$99:E114))</f>
        <v>2147338.14</v>
      </c>
      <c r="E115" s="486">
        <f t="shared" si="48"/>
        <v>84763</v>
      </c>
      <c r="F115" s="485">
        <f t="shared" si="49"/>
        <v>2062575.1400000001</v>
      </c>
      <c r="G115" s="485">
        <f t="shared" si="50"/>
        <v>2104956.64</v>
      </c>
      <c r="H115" s="486">
        <f t="shared" si="51"/>
        <v>316692.70678341412</v>
      </c>
      <c r="I115" s="542">
        <f t="shared" si="52"/>
        <v>316692.70678341412</v>
      </c>
      <c r="J115" s="478">
        <f t="shared" si="25"/>
        <v>0</v>
      </c>
      <c r="K115" s="478"/>
      <c r="L115" s="487"/>
      <c r="M115" s="478">
        <f t="shared" si="53"/>
        <v>0</v>
      </c>
      <c r="N115" s="487"/>
      <c r="O115" s="478">
        <f t="shared" si="40"/>
        <v>0</v>
      </c>
      <c r="P115" s="478">
        <f t="shared" si="41"/>
        <v>0</v>
      </c>
    </row>
    <row r="116" spans="2:16">
      <c r="B116" s="160" t="str">
        <f t="shared" si="31"/>
        <v/>
      </c>
      <c r="C116" s="472">
        <f>IF(D93="","-",+C115+1)</f>
        <v>2029</v>
      </c>
      <c r="D116" s="347">
        <f>IF(F115+SUM(E$99:E115)=D$92,F115,D$92-SUM(E$99:E115))</f>
        <v>2062575.1400000001</v>
      </c>
      <c r="E116" s="486">
        <f t="shared" si="48"/>
        <v>84763</v>
      </c>
      <c r="F116" s="485">
        <f t="shared" si="49"/>
        <v>1977812.1400000001</v>
      </c>
      <c r="G116" s="485">
        <f t="shared" si="50"/>
        <v>2020193.6400000001</v>
      </c>
      <c r="H116" s="486">
        <f t="shared" si="51"/>
        <v>307353.29457771545</v>
      </c>
      <c r="I116" s="542">
        <f t="shared" si="52"/>
        <v>307353.29457771545</v>
      </c>
      <c r="J116" s="478">
        <f t="shared" si="25"/>
        <v>0</v>
      </c>
      <c r="K116" s="478"/>
      <c r="L116" s="487"/>
      <c r="M116" s="478">
        <f t="shared" si="53"/>
        <v>0</v>
      </c>
      <c r="N116" s="487"/>
      <c r="O116" s="478">
        <f t="shared" si="40"/>
        <v>0</v>
      </c>
      <c r="P116" s="478">
        <f t="shared" si="41"/>
        <v>0</v>
      </c>
    </row>
    <row r="117" spans="2:16">
      <c r="B117" s="160" t="str">
        <f t="shared" si="31"/>
        <v/>
      </c>
      <c r="C117" s="472">
        <f>IF(D93="","-",+C116+1)</f>
        <v>2030</v>
      </c>
      <c r="D117" s="347">
        <f>IF(F116+SUM(E$99:E116)=D$92,F116,D$92-SUM(E$99:E116))</f>
        <v>1977812.1400000001</v>
      </c>
      <c r="E117" s="486">
        <f t="shared" si="48"/>
        <v>84763</v>
      </c>
      <c r="F117" s="485">
        <f t="shared" si="49"/>
        <v>1893049.1400000001</v>
      </c>
      <c r="G117" s="485">
        <f t="shared" si="50"/>
        <v>1935430.6400000001</v>
      </c>
      <c r="H117" s="486">
        <f t="shared" si="51"/>
        <v>298013.88237201667</v>
      </c>
      <c r="I117" s="542">
        <f t="shared" si="52"/>
        <v>298013.88237201667</v>
      </c>
      <c r="J117" s="478">
        <f t="shared" si="25"/>
        <v>0</v>
      </c>
      <c r="K117" s="478"/>
      <c r="L117" s="487"/>
      <c r="M117" s="478">
        <f t="shared" si="53"/>
        <v>0</v>
      </c>
      <c r="N117" s="487"/>
      <c r="O117" s="478">
        <f t="shared" si="40"/>
        <v>0</v>
      </c>
      <c r="P117" s="478">
        <f t="shared" si="41"/>
        <v>0</v>
      </c>
    </row>
    <row r="118" spans="2:16">
      <c r="B118" s="160" t="str">
        <f t="shared" si="31"/>
        <v/>
      </c>
      <c r="C118" s="472">
        <f>IF(D93="","-",+C117+1)</f>
        <v>2031</v>
      </c>
      <c r="D118" s="347">
        <f>IF(F117+SUM(E$99:E117)=D$92,F117,D$92-SUM(E$99:E117))</f>
        <v>1893049.1400000001</v>
      </c>
      <c r="E118" s="486">
        <f t="shared" si="48"/>
        <v>84763</v>
      </c>
      <c r="F118" s="485">
        <f t="shared" si="49"/>
        <v>1808286.1400000001</v>
      </c>
      <c r="G118" s="485">
        <f t="shared" si="50"/>
        <v>1850667.6400000001</v>
      </c>
      <c r="H118" s="486">
        <f t="shared" si="51"/>
        <v>288674.470166318</v>
      </c>
      <c r="I118" s="542">
        <f t="shared" si="52"/>
        <v>288674.470166318</v>
      </c>
      <c r="J118" s="478">
        <f t="shared" si="25"/>
        <v>0</v>
      </c>
      <c r="K118" s="478"/>
      <c r="L118" s="487"/>
      <c r="M118" s="478">
        <f t="shared" si="53"/>
        <v>0</v>
      </c>
      <c r="N118" s="487"/>
      <c r="O118" s="478">
        <f t="shared" si="40"/>
        <v>0</v>
      </c>
      <c r="P118" s="478">
        <f t="shared" si="41"/>
        <v>0</v>
      </c>
    </row>
    <row r="119" spans="2:16">
      <c r="B119" s="160" t="str">
        <f t="shared" si="31"/>
        <v/>
      </c>
      <c r="C119" s="472">
        <f>IF(D93="","-",+C118+1)</f>
        <v>2032</v>
      </c>
      <c r="D119" s="347">
        <f>IF(F118+SUM(E$99:E118)=D$92,F118,D$92-SUM(E$99:E118))</f>
        <v>1808286.1400000001</v>
      </c>
      <c r="E119" s="486">
        <f t="shared" si="48"/>
        <v>84763</v>
      </c>
      <c r="F119" s="485">
        <f t="shared" si="49"/>
        <v>1723523.1400000001</v>
      </c>
      <c r="G119" s="485">
        <f t="shared" si="50"/>
        <v>1765904.6400000001</v>
      </c>
      <c r="H119" s="486">
        <f t="shared" si="51"/>
        <v>279335.05796061934</v>
      </c>
      <c r="I119" s="542">
        <f t="shared" si="52"/>
        <v>279335.05796061934</v>
      </c>
      <c r="J119" s="478">
        <f t="shared" si="25"/>
        <v>0</v>
      </c>
      <c r="K119" s="478"/>
      <c r="L119" s="487"/>
      <c r="M119" s="478">
        <f t="shared" si="53"/>
        <v>0</v>
      </c>
      <c r="N119" s="487"/>
      <c r="O119" s="478">
        <f t="shared" si="40"/>
        <v>0</v>
      </c>
      <c r="P119" s="478">
        <f t="shared" si="41"/>
        <v>0</v>
      </c>
    </row>
    <row r="120" spans="2:16">
      <c r="B120" s="160" t="str">
        <f t="shared" si="31"/>
        <v/>
      </c>
      <c r="C120" s="472">
        <f>IF(D93="","-",+C119+1)</f>
        <v>2033</v>
      </c>
      <c r="D120" s="347">
        <f>IF(F119+SUM(E$99:E119)=D$92,F119,D$92-SUM(E$99:E119))</f>
        <v>1723523.1400000001</v>
      </c>
      <c r="E120" s="486">
        <f t="shared" si="48"/>
        <v>84763</v>
      </c>
      <c r="F120" s="485">
        <f t="shared" si="49"/>
        <v>1638760.1400000001</v>
      </c>
      <c r="G120" s="485">
        <f t="shared" si="50"/>
        <v>1681141.6400000001</v>
      </c>
      <c r="H120" s="486">
        <f t="shared" si="51"/>
        <v>269995.64575492061</v>
      </c>
      <c r="I120" s="542">
        <f t="shared" si="52"/>
        <v>269995.64575492061</v>
      </c>
      <c r="J120" s="478">
        <f t="shared" si="25"/>
        <v>0</v>
      </c>
      <c r="K120" s="478"/>
      <c r="L120" s="487"/>
      <c r="M120" s="478">
        <f t="shared" si="53"/>
        <v>0</v>
      </c>
      <c r="N120" s="487"/>
      <c r="O120" s="478">
        <f t="shared" si="40"/>
        <v>0</v>
      </c>
      <c r="P120" s="478">
        <f t="shared" si="41"/>
        <v>0</v>
      </c>
    </row>
    <row r="121" spans="2:16">
      <c r="B121" s="160" t="str">
        <f t="shared" si="31"/>
        <v/>
      </c>
      <c r="C121" s="472">
        <f>IF(D93="","-",+C120+1)</f>
        <v>2034</v>
      </c>
      <c r="D121" s="347">
        <f>IF(F120+SUM(E$99:E120)=D$92,F120,D$92-SUM(E$99:E120))</f>
        <v>1638760.1400000001</v>
      </c>
      <c r="E121" s="486">
        <f t="shared" si="48"/>
        <v>84763</v>
      </c>
      <c r="F121" s="485">
        <f t="shared" si="49"/>
        <v>1553997.1400000001</v>
      </c>
      <c r="G121" s="485">
        <f t="shared" si="50"/>
        <v>1596378.6400000001</v>
      </c>
      <c r="H121" s="486">
        <f t="shared" si="51"/>
        <v>260656.23354922191</v>
      </c>
      <c r="I121" s="542">
        <f t="shared" si="52"/>
        <v>260656.23354922191</v>
      </c>
      <c r="J121" s="478">
        <f t="shared" si="25"/>
        <v>0</v>
      </c>
      <c r="K121" s="478"/>
      <c r="L121" s="487"/>
      <c r="M121" s="478">
        <f t="shared" si="53"/>
        <v>0</v>
      </c>
      <c r="N121" s="487"/>
      <c r="O121" s="478">
        <f t="shared" si="40"/>
        <v>0</v>
      </c>
      <c r="P121" s="478">
        <f t="shared" si="41"/>
        <v>0</v>
      </c>
    </row>
    <row r="122" spans="2:16">
      <c r="B122" s="160" t="str">
        <f t="shared" si="31"/>
        <v/>
      </c>
      <c r="C122" s="472">
        <f>IF(D93="","-",+C121+1)</f>
        <v>2035</v>
      </c>
      <c r="D122" s="347">
        <f>IF(F121+SUM(E$99:E121)=D$92,F121,D$92-SUM(E$99:E121))</f>
        <v>1553997.1400000001</v>
      </c>
      <c r="E122" s="486">
        <f t="shared" si="48"/>
        <v>84763</v>
      </c>
      <c r="F122" s="485">
        <f t="shared" si="49"/>
        <v>1469234.1400000001</v>
      </c>
      <c r="G122" s="485">
        <f t="shared" si="50"/>
        <v>1511615.6400000001</v>
      </c>
      <c r="H122" s="486">
        <f t="shared" si="51"/>
        <v>251316.82134352319</v>
      </c>
      <c r="I122" s="542">
        <f t="shared" si="52"/>
        <v>251316.82134352319</v>
      </c>
      <c r="J122" s="478">
        <f t="shared" si="25"/>
        <v>0</v>
      </c>
      <c r="K122" s="478"/>
      <c r="L122" s="487"/>
      <c r="M122" s="478">
        <f t="shared" si="53"/>
        <v>0</v>
      </c>
      <c r="N122" s="487"/>
      <c r="O122" s="478">
        <f t="shared" si="40"/>
        <v>0</v>
      </c>
      <c r="P122" s="478">
        <f t="shared" si="41"/>
        <v>0</v>
      </c>
    </row>
    <row r="123" spans="2:16">
      <c r="B123" s="160" t="str">
        <f t="shared" si="31"/>
        <v/>
      </c>
      <c r="C123" s="472">
        <f>IF(D93="","-",+C122+1)</f>
        <v>2036</v>
      </c>
      <c r="D123" s="347">
        <f>IF(F122+SUM(E$99:E122)=D$92,F122,D$92-SUM(E$99:E122))</f>
        <v>1469234.1400000001</v>
      </c>
      <c r="E123" s="486">
        <f t="shared" si="48"/>
        <v>84763</v>
      </c>
      <c r="F123" s="485">
        <f t="shared" si="49"/>
        <v>1384471.1400000001</v>
      </c>
      <c r="G123" s="485">
        <f t="shared" si="50"/>
        <v>1426852.6400000001</v>
      </c>
      <c r="H123" s="486">
        <f t="shared" si="51"/>
        <v>241977.40913782449</v>
      </c>
      <c r="I123" s="542">
        <f t="shared" si="52"/>
        <v>241977.40913782449</v>
      </c>
      <c r="J123" s="478">
        <f t="shared" si="25"/>
        <v>0</v>
      </c>
      <c r="K123" s="478"/>
      <c r="L123" s="487"/>
      <c r="M123" s="478">
        <f t="shared" si="53"/>
        <v>0</v>
      </c>
      <c r="N123" s="487"/>
      <c r="O123" s="478">
        <f t="shared" si="40"/>
        <v>0</v>
      </c>
      <c r="P123" s="478">
        <f t="shared" si="41"/>
        <v>0</v>
      </c>
    </row>
    <row r="124" spans="2:16">
      <c r="B124" s="160" t="str">
        <f t="shared" si="31"/>
        <v/>
      </c>
      <c r="C124" s="472">
        <f>IF(D93="","-",+C123+1)</f>
        <v>2037</v>
      </c>
      <c r="D124" s="347">
        <f>IF(F123+SUM(E$99:E123)=D$92,F123,D$92-SUM(E$99:E123))</f>
        <v>1384471.1400000001</v>
      </c>
      <c r="E124" s="486">
        <f t="shared" si="48"/>
        <v>84763</v>
      </c>
      <c r="F124" s="485">
        <f t="shared" si="49"/>
        <v>1299708.1400000001</v>
      </c>
      <c r="G124" s="485">
        <f t="shared" si="50"/>
        <v>1342089.6400000001</v>
      </c>
      <c r="H124" s="486">
        <f t="shared" si="51"/>
        <v>232637.9969321258</v>
      </c>
      <c r="I124" s="542">
        <f t="shared" si="52"/>
        <v>232637.9969321258</v>
      </c>
      <c r="J124" s="478">
        <f t="shared" si="25"/>
        <v>0</v>
      </c>
      <c r="K124" s="478"/>
      <c r="L124" s="487"/>
      <c r="M124" s="478">
        <f t="shared" si="53"/>
        <v>0</v>
      </c>
      <c r="N124" s="487"/>
      <c r="O124" s="478">
        <f t="shared" si="40"/>
        <v>0</v>
      </c>
      <c r="P124" s="478">
        <f t="shared" si="41"/>
        <v>0</v>
      </c>
    </row>
    <row r="125" spans="2:16">
      <c r="B125" s="160" t="str">
        <f t="shared" si="31"/>
        <v/>
      </c>
      <c r="C125" s="472">
        <f>IF(D93="","-",+C124+1)</f>
        <v>2038</v>
      </c>
      <c r="D125" s="347">
        <f>IF(F124+SUM(E$99:E124)=D$92,F124,D$92-SUM(E$99:E124))</f>
        <v>1299708.1400000001</v>
      </c>
      <c r="E125" s="486">
        <f t="shared" si="48"/>
        <v>84763</v>
      </c>
      <c r="F125" s="485">
        <f t="shared" si="49"/>
        <v>1214945.1400000001</v>
      </c>
      <c r="G125" s="485">
        <f t="shared" si="50"/>
        <v>1257326.6400000001</v>
      </c>
      <c r="H125" s="486">
        <f t="shared" si="51"/>
        <v>223298.5847264271</v>
      </c>
      <c r="I125" s="542">
        <f t="shared" si="52"/>
        <v>223298.5847264271</v>
      </c>
      <c r="J125" s="478">
        <f t="shared" si="25"/>
        <v>0</v>
      </c>
      <c r="K125" s="478"/>
      <c r="L125" s="487"/>
      <c r="M125" s="478">
        <f t="shared" si="53"/>
        <v>0</v>
      </c>
      <c r="N125" s="487"/>
      <c r="O125" s="478">
        <f t="shared" si="40"/>
        <v>0</v>
      </c>
      <c r="P125" s="478">
        <f t="shared" si="41"/>
        <v>0</v>
      </c>
    </row>
    <row r="126" spans="2:16">
      <c r="B126" s="160" t="str">
        <f t="shared" si="31"/>
        <v/>
      </c>
      <c r="C126" s="472">
        <f>IF(D93="","-",+C125+1)</f>
        <v>2039</v>
      </c>
      <c r="D126" s="347">
        <f>IF(F125+SUM(E$99:E125)=D$92,F125,D$92-SUM(E$99:E125))</f>
        <v>1214945.1400000001</v>
      </c>
      <c r="E126" s="486">
        <f t="shared" si="48"/>
        <v>84763</v>
      </c>
      <c r="F126" s="485">
        <f t="shared" si="49"/>
        <v>1130182.1400000001</v>
      </c>
      <c r="G126" s="485">
        <f t="shared" si="50"/>
        <v>1172563.6400000001</v>
      </c>
      <c r="H126" s="486">
        <f t="shared" si="51"/>
        <v>213959.17252072837</v>
      </c>
      <c r="I126" s="542">
        <f t="shared" si="52"/>
        <v>213959.17252072837</v>
      </c>
      <c r="J126" s="478">
        <f t="shared" si="25"/>
        <v>0</v>
      </c>
      <c r="K126" s="478"/>
      <c r="L126" s="487"/>
      <c r="M126" s="478">
        <f t="shared" si="53"/>
        <v>0</v>
      </c>
      <c r="N126" s="487"/>
      <c r="O126" s="478">
        <f t="shared" si="40"/>
        <v>0</v>
      </c>
      <c r="P126" s="478">
        <f t="shared" si="41"/>
        <v>0</v>
      </c>
    </row>
    <row r="127" spans="2:16">
      <c r="B127" s="160" t="str">
        <f t="shared" si="31"/>
        <v/>
      </c>
      <c r="C127" s="472">
        <f>IF(D93="","-",+C126+1)</f>
        <v>2040</v>
      </c>
      <c r="D127" s="347">
        <f>IF(F126+SUM(E$99:E126)=D$92,F126,D$92-SUM(E$99:E126))</f>
        <v>1130182.1400000001</v>
      </c>
      <c r="E127" s="486">
        <f t="shared" si="48"/>
        <v>84763</v>
      </c>
      <c r="F127" s="485">
        <f t="shared" si="49"/>
        <v>1045419.1400000001</v>
      </c>
      <c r="G127" s="485">
        <f t="shared" si="50"/>
        <v>1087800.6400000001</v>
      </c>
      <c r="H127" s="486">
        <f t="shared" si="51"/>
        <v>204619.76031502971</v>
      </c>
      <c r="I127" s="542">
        <f t="shared" si="52"/>
        <v>204619.76031502971</v>
      </c>
      <c r="J127" s="478">
        <f t="shared" si="25"/>
        <v>0</v>
      </c>
      <c r="K127" s="478"/>
      <c r="L127" s="487"/>
      <c r="M127" s="478">
        <f t="shared" si="53"/>
        <v>0</v>
      </c>
      <c r="N127" s="487"/>
      <c r="O127" s="478">
        <f t="shared" si="40"/>
        <v>0</v>
      </c>
      <c r="P127" s="478">
        <f t="shared" si="41"/>
        <v>0</v>
      </c>
    </row>
    <row r="128" spans="2:16">
      <c r="B128" s="160" t="str">
        <f t="shared" si="31"/>
        <v/>
      </c>
      <c r="C128" s="472">
        <f>IF(D93="","-",+C127+1)</f>
        <v>2041</v>
      </c>
      <c r="D128" s="347">
        <f>IF(F127+SUM(E$99:E127)=D$92,F127,D$92-SUM(E$99:E127))</f>
        <v>1045419.1400000001</v>
      </c>
      <c r="E128" s="486">
        <f t="shared" si="48"/>
        <v>84763</v>
      </c>
      <c r="F128" s="485">
        <f t="shared" si="49"/>
        <v>960656.14000000013</v>
      </c>
      <c r="G128" s="485">
        <f t="shared" si="50"/>
        <v>1003037.6400000001</v>
      </c>
      <c r="H128" s="486">
        <f t="shared" si="51"/>
        <v>195280.34810933098</v>
      </c>
      <c r="I128" s="542">
        <f t="shared" si="52"/>
        <v>195280.34810933098</v>
      </c>
      <c r="J128" s="478">
        <f t="shared" si="25"/>
        <v>0</v>
      </c>
      <c r="K128" s="478"/>
      <c r="L128" s="487"/>
      <c r="M128" s="478">
        <f t="shared" si="53"/>
        <v>0</v>
      </c>
      <c r="N128" s="487"/>
      <c r="O128" s="478">
        <f t="shared" si="40"/>
        <v>0</v>
      </c>
      <c r="P128" s="478">
        <f t="shared" si="41"/>
        <v>0</v>
      </c>
    </row>
    <row r="129" spans="2:16">
      <c r="B129" s="160" t="str">
        <f t="shared" si="31"/>
        <v/>
      </c>
      <c r="C129" s="472">
        <f>IF(D93="","-",+C128+1)</f>
        <v>2042</v>
      </c>
      <c r="D129" s="347">
        <f>IF(F128+SUM(E$99:E128)=D$92,F128,D$92-SUM(E$99:E128))</f>
        <v>960656.14000000013</v>
      </c>
      <c r="E129" s="486">
        <f t="shared" si="48"/>
        <v>84763</v>
      </c>
      <c r="F129" s="485">
        <f t="shared" si="49"/>
        <v>875893.14000000013</v>
      </c>
      <c r="G129" s="485">
        <f t="shared" si="50"/>
        <v>918274.64000000013</v>
      </c>
      <c r="H129" s="486">
        <f t="shared" si="51"/>
        <v>185940.93590363229</v>
      </c>
      <c r="I129" s="542">
        <f t="shared" si="52"/>
        <v>185940.93590363229</v>
      </c>
      <c r="J129" s="478">
        <f t="shared" si="25"/>
        <v>0</v>
      </c>
      <c r="K129" s="478"/>
      <c r="L129" s="487"/>
      <c r="M129" s="478">
        <f t="shared" si="53"/>
        <v>0</v>
      </c>
      <c r="N129" s="487"/>
      <c r="O129" s="478">
        <f t="shared" si="40"/>
        <v>0</v>
      </c>
      <c r="P129" s="478">
        <f t="shared" si="41"/>
        <v>0</v>
      </c>
    </row>
    <row r="130" spans="2:16">
      <c r="B130" s="160" t="str">
        <f t="shared" si="31"/>
        <v/>
      </c>
      <c r="C130" s="472">
        <f>IF(D93="","-",+C129+1)</f>
        <v>2043</v>
      </c>
      <c r="D130" s="347">
        <f>IF(F129+SUM(E$99:E129)=D$92,F129,D$92-SUM(E$99:E129))</f>
        <v>875893.14000000013</v>
      </c>
      <c r="E130" s="486">
        <f t="shared" si="48"/>
        <v>84763</v>
      </c>
      <c r="F130" s="485">
        <f t="shared" si="49"/>
        <v>791130.14000000013</v>
      </c>
      <c r="G130" s="485">
        <f t="shared" si="50"/>
        <v>833511.64000000013</v>
      </c>
      <c r="H130" s="486">
        <f t="shared" si="51"/>
        <v>176601.52369793359</v>
      </c>
      <c r="I130" s="542">
        <f t="shared" si="52"/>
        <v>176601.52369793359</v>
      </c>
      <c r="J130" s="478">
        <f t="shared" si="25"/>
        <v>0</v>
      </c>
      <c r="K130" s="478"/>
      <c r="L130" s="487"/>
      <c r="M130" s="478">
        <f t="shared" si="53"/>
        <v>0</v>
      </c>
      <c r="N130" s="487"/>
      <c r="O130" s="478">
        <f t="shared" si="40"/>
        <v>0</v>
      </c>
      <c r="P130" s="478">
        <f t="shared" si="41"/>
        <v>0</v>
      </c>
    </row>
    <row r="131" spans="2:16">
      <c r="B131" s="160" t="str">
        <f t="shared" si="31"/>
        <v/>
      </c>
      <c r="C131" s="472">
        <f>IF(D93="","-",+C130+1)</f>
        <v>2044</v>
      </c>
      <c r="D131" s="347">
        <f>IF(F130+SUM(E$99:E130)=D$92,F130,D$92-SUM(E$99:E130))</f>
        <v>791130.14000000013</v>
      </c>
      <c r="E131" s="486">
        <f t="shared" si="48"/>
        <v>84763</v>
      </c>
      <c r="F131" s="485">
        <f t="shared" si="49"/>
        <v>706367.14000000013</v>
      </c>
      <c r="G131" s="485">
        <f t="shared" si="50"/>
        <v>748748.64000000013</v>
      </c>
      <c r="H131" s="486">
        <f t="shared" si="51"/>
        <v>167262.11149223486</v>
      </c>
      <c r="I131" s="542">
        <f t="shared" si="52"/>
        <v>167262.11149223486</v>
      </c>
      <c r="J131" s="478">
        <f t="shared" ref="J131:J154" si="54">+I541-H541</f>
        <v>0</v>
      </c>
      <c r="K131" s="478"/>
      <c r="L131" s="487"/>
      <c r="M131" s="478">
        <f t="shared" ref="M131:M154" si="55">IF(L541&lt;&gt;0,+H541-L541,0)</f>
        <v>0</v>
      </c>
      <c r="N131" s="487"/>
      <c r="O131" s="478">
        <f t="shared" ref="O131:O154" si="56">IF(N541&lt;&gt;0,+I541-N541,0)</f>
        <v>0</v>
      </c>
      <c r="P131" s="478">
        <f t="shared" ref="P131:P154" si="57">+O541-M541</f>
        <v>0</v>
      </c>
    </row>
    <row r="132" spans="2:16">
      <c r="B132" s="160" t="str">
        <f t="shared" ref="B132:B154" si="58">IF(D132=F131,"","IU")</f>
        <v/>
      </c>
      <c r="C132" s="472">
        <f>IF(D93="","-",+C131+1)</f>
        <v>2045</v>
      </c>
      <c r="D132" s="347">
        <f>IF(F131+SUM(E$99:E131)=D$92,F131,D$92-SUM(E$99:E131))</f>
        <v>706367.14000000013</v>
      </c>
      <c r="E132" s="486">
        <f t="shared" si="48"/>
        <v>84763</v>
      </c>
      <c r="F132" s="485">
        <f t="shared" si="49"/>
        <v>621604.14000000013</v>
      </c>
      <c r="G132" s="485">
        <f t="shared" si="50"/>
        <v>663985.64000000013</v>
      </c>
      <c r="H132" s="486">
        <f t="shared" si="51"/>
        <v>157922.69928653617</v>
      </c>
      <c r="I132" s="542">
        <f t="shared" si="52"/>
        <v>157922.69928653617</v>
      </c>
      <c r="J132" s="478">
        <f t="shared" si="54"/>
        <v>0</v>
      </c>
      <c r="K132" s="478"/>
      <c r="L132" s="487"/>
      <c r="M132" s="478">
        <f t="shared" si="55"/>
        <v>0</v>
      </c>
      <c r="N132" s="487"/>
      <c r="O132" s="478">
        <f t="shared" si="56"/>
        <v>0</v>
      </c>
      <c r="P132" s="478">
        <f t="shared" si="57"/>
        <v>0</v>
      </c>
    </row>
    <row r="133" spans="2:16">
      <c r="B133" s="160" t="str">
        <f t="shared" si="58"/>
        <v/>
      </c>
      <c r="C133" s="472">
        <f>IF(D93="","-",+C132+1)</f>
        <v>2046</v>
      </c>
      <c r="D133" s="347">
        <f>IF(F132+SUM(E$99:E132)=D$92,F132,D$92-SUM(E$99:E132))</f>
        <v>621604.14000000013</v>
      </c>
      <c r="E133" s="486">
        <f t="shared" si="48"/>
        <v>84763</v>
      </c>
      <c r="F133" s="485">
        <f t="shared" si="49"/>
        <v>536841.14000000013</v>
      </c>
      <c r="G133" s="485">
        <f t="shared" si="50"/>
        <v>579222.64000000013</v>
      </c>
      <c r="H133" s="486">
        <f t="shared" si="51"/>
        <v>148583.28708083747</v>
      </c>
      <c r="I133" s="542">
        <f t="shared" si="52"/>
        <v>148583.28708083747</v>
      </c>
      <c r="J133" s="478">
        <f t="shared" si="54"/>
        <v>0</v>
      </c>
      <c r="K133" s="478"/>
      <c r="L133" s="487"/>
      <c r="M133" s="478">
        <f t="shared" si="55"/>
        <v>0</v>
      </c>
      <c r="N133" s="487"/>
      <c r="O133" s="478">
        <f t="shared" si="56"/>
        <v>0</v>
      </c>
      <c r="P133" s="478">
        <f t="shared" si="57"/>
        <v>0</v>
      </c>
    </row>
    <row r="134" spans="2:16">
      <c r="B134" s="160" t="str">
        <f t="shared" si="58"/>
        <v/>
      </c>
      <c r="C134" s="472">
        <f>IF(D93="","-",+C133+1)</f>
        <v>2047</v>
      </c>
      <c r="D134" s="347">
        <f>IF(F133+SUM(E$99:E133)=D$92,F133,D$92-SUM(E$99:E133))</f>
        <v>536841.14000000013</v>
      </c>
      <c r="E134" s="486">
        <f t="shared" si="48"/>
        <v>84763</v>
      </c>
      <c r="F134" s="485">
        <f t="shared" si="49"/>
        <v>452078.14000000013</v>
      </c>
      <c r="G134" s="485">
        <f t="shared" si="50"/>
        <v>494459.64000000013</v>
      </c>
      <c r="H134" s="486">
        <f t="shared" si="51"/>
        <v>139243.87487513878</v>
      </c>
      <c r="I134" s="542">
        <f t="shared" si="52"/>
        <v>139243.87487513878</v>
      </c>
      <c r="J134" s="478">
        <f t="shared" si="54"/>
        <v>0</v>
      </c>
      <c r="K134" s="478"/>
      <c r="L134" s="487"/>
      <c r="M134" s="478">
        <f t="shared" si="55"/>
        <v>0</v>
      </c>
      <c r="N134" s="487"/>
      <c r="O134" s="478">
        <f t="shared" si="56"/>
        <v>0</v>
      </c>
      <c r="P134" s="478">
        <f t="shared" si="57"/>
        <v>0</v>
      </c>
    </row>
    <row r="135" spans="2:16">
      <c r="B135" s="160" t="str">
        <f t="shared" si="58"/>
        <v/>
      </c>
      <c r="C135" s="472">
        <f>IF(D93="","-",+C134+1)</f>
        <v>2048</v>
      </c>
      <c r="D135" s="347">
        <f>IF(F134+SUM(E$99:E134)=D$92,F134,D$92-SUM(E$99:E134))</f>
        <v>452078.14000000013</v>
      </c>
      <c r="E135" s="486">
        <f t="shared" si="48"/>
        <v>84763</v>
      </c>
      <c r="F135" s="485">
        <f t="shared" si="49"/>
        <v>367315.14000000013</v>
      </c>
      <c r="G135" s="485">
        <f t="shared" si="50"/>
        <v>409696.64000000013</v>
      </c>
      <c r="H135" s="486">
        <f t="shared" si="51"/>
        <v>129904.46266944006</v>
      </c>
      <c r="I135" s="542">
        <f t="shared" si="52"/>
        <v>129904.46266944006</v>
      </c>
      <c r="J135" s="478">
        <f t="shared" si="54"/>
        <v>0</v>
      </c>
      <c r="K135" s="478"/>
      <c r="L135" s="487"/>
      <c r="M135" s="478">
        <f t="shared" si="55"/>
        <v>0</v>
      </c>
      <c r="N135" s="487"/>
      <c r="O135" s="478">
        <f t="shared" si="56"/>
        <v>0</v>
      </c>
      <c r="P135" s="478">
        <f t="shared" si="57"/>
        <v>0</v>
      </c>
    </row>
    <row r="136" spans="2:16">
      <c r="B136" s="160" t="str">
        <f t="shared" si="58"/>
        <v/>
      </c>
      <c r="C136" s="472">
        <f>IF(D93="","-",+C135+1)</f>
        <v>2049</v>
      </c>
      <c r="D136" s="347">
        <f>IF(F135+SUM(E$99:E135)=D$92,F135,D$92-SUM(E$99:E135))</f>
        <v>367315.14000000013</v>
      </c>
      <c r="E136" s="486">
        <f t="shared" si="48"/>
        <v>84763</v>
      </c>
      <c r="F136" s="485">
        <f t="shared" si="49"/>
        <v>282552.14000000013</v>
      </c>
      <c r="G136" s="485">
        <f t="shared" si="50"/>
        <v>324933.64000000013</v>
      </c>
      <c r="H136" s="486">
        <f t="shared" si="51"/>
        <v>120565.05046374135</v>
      </c>
      <c r="I136" s="542">
        <f t="shared" si="52"/>
        <v>120565.05046374135</v>
      </c>
      <c r="J136" s="478">
        <f t="shared" si="54"/>
        <v>0</v>
      </c>
      <c r="K136" s="478"/>
      <c r="L136" s="487"/>
      <c r="M136" s="478">
        <f t="shared" si="55"/>
        <v>0</v>
      </c>
      <c r="N136" s="487"/>
      <c r="O136" s="478">
        <f t="shared" si="56"/>
        <v>0</v>
      </c>
      <c r="P136" s="478">
        <f t="shared" si="57"/>
        <v>0</v>
      </c>
    </row>
    <row r="137" spans="2:16">
      <c r="B137" s="160" t="str">
        <f t="shared" si="58"/>
        <v/>
      </c>
      <c r="C137" s="472">
        <f>IF(D93="","-",+C136+1)</f>
        <v>2050</v>
      </c>
      <c r="D137" s="347">
        <f>IF(F136+SUM(E$99:E136)=D$92,F136,D$92-SUM(E$99:E136))</f>
        <v>282552.14000000013</v>
      </c>
      <c r="E137" s="486">
        <f t="shared" si="48"/>
        <v>84763</v>
      </c>
      <c r="F137" s="485">
        <f t="shared" si="49"/>
        <v>197789.14000000013</v>
      </c>
      <c r="G137" s="485">
        <f t="shared" si="50"/>
        <v>240170.64000000013</v>
      </c>
      <c r="H137" s="486">
        <f t="shared" si="51"/>
        <v>111225.63825804266</v>
      </c>
      <c r="I137" s="542">
        <f t="shared" si="52"/>
        <v>111225.63825804266</v>
      </c>
      <c r="J137" s="478">
        <f t="shared" si="54"/>
        <v>0</v>
      </c>
      <c r="K137" s="478"/>
      <c r="L137" s="487"/>
      <c r="M137" s="478">
        <f t="shared" si="55"/>
        <v>0</v>
      </c>
      <c r="N137" s="487"/>
      <c r="O137" s="478">
        <f t="shared" si="56"/>
        <v>0</v>
      </c>
      <c r="P137" s="478">
        <f t="shared" si="57"/>
        <v>0</v>
      </c>
    </row>
    <row r="138" spans="2:16">
      <c r="B138" s="160" t="str">
        <f t="shared" si="58"/>
        <v/>
      </c>
      <c r="C138" s="472">
        <f>IF(D93="","-",+C137+1)</f>
        <v>2051</v>
      </c>
      <c r="D138" s="347">
        <f>IF(F137+SUM(E$99:E137)=D$92,F137,D$92-SUM(E$99:E137))</f>
        <v>197789.14000000013</v>
      </c>
      <c r="E138" s="486">
        <f t="shared" si="48"/>
        <v>84763</v>
      </c>
      <c r="F138" s="485">
        <f t="shared" si="49"/>
        <v>113026.14000000013</v>
      </c>
      <c r="G138" s="485">
        <f t="shared" si="50"/>
        <v>155407.64000000013</v>
      </c>
      <c r="H138" s="486">
        <f t="shared" si="51"/>
        <v>101886.22605234396</v>
      </c>
      <c r="I138" s="542">
        <f t="shared" si="52"/>
        <v>101886.22605234396</v>
      </c>
      <c r="J138" s="478">
        <f t="shared" si="54"/>
        <v>0</v>
      </c>
      <c r="K138" s="478"/>
      <c r="L138" s="487"/>
      <c r="M138" s="478">
        <f t="shared" si="55"/>
        <v>0</v>
      </c>
      <c r="N138" s="487"/>
      <c r="O138" s="478">
        <f t="shared" si="56"/>
        <v>0</v>
      </c>
      <c r="P138" s="478">
        <f t="shared" si="57"/>
        <v>0</v>
      </c>
    </row>
    <row r="139" spans="2:16">
      <c r="B139" s="160" t="str">
        <f t="shared" si="58"/>
        <v/>
      </c>
      <c r="C139" s="472">
        <f>IF(D93="","-",+C138+1)</f>
        <v>2052</v>
      </c>
      <c r="D139" s="347">
        <f>IF(F138+SUM(E$99:E138)=D$92,F138,D$92-SUM(E$99:E138))</f>
        <v>113026.14000000013</v>
      </c>
      <c r="E139" s="486">
        <f t="shared" si="48"/>
        <v>84763</v>
      </c>
      <c r="F139" s="485">
        <f t="shared" si="49"/>
        <v>28263.14000000013</v>
      </c>
      <c r="G139" s="485">
        <f t="shared" si="50"/>
        <v>70644.64000000013</v>
      </c>
      <c r="H139" s="486">
        <f t="shared" si="51"/>
        <v>92546.813846645266</v>
      </c>
      <c r="I139" s="542">
        <f t="shared" si="52"/>
        <v>92546.813846645266</v>
      </c>
      <c r="J139" s="478">
        <f t="shared" si="54"/>
        <v>0</v>
      </c>
      <c r="K139" s="478"/>
      <c r="L139" s="487"/>
      <c r="M139" s="478">
        <f t="shared" si="55"/>
        <v>0</v>
      </c>
      <c r="N139" s="487"/>
      <c r="O139" s="478">
        <f t="shared" si="56"/>
        <v>0</v>
      </c>
      <c r="P139" s="478">
        <f t="shared" si="57"/>
        <v>0</v>
      </c>
    </row>
    <row r="140" spans="2:16">
      <c r="B140" s="160" t="str">
        <f t="shared" si="58"/>
        <v/>
      </c>
      <c r="C140" s="472">
        <f>IF(D93="","-",+C139+1)</f>
        <v>2053</v>
      </c>
      <c r="D140" s="347">
        <f>IF(F139+SUM(E$99:E139)=D$92,F139,D$92-SUM(E$99:E139))</f>
        <v>28263.14000000013</v>
      </c>
      <c r="E140" s="486">
        <f t="shared" si="48"/>
        <v>28263.14000000013</v>
      </c>
      <c r="F140" s="485">
        <f t="shared" si="49"/>
        <v>0</v>
      </c>
      <c r="G140" s="485">
        <f t="shared" si="50"/>
        <v>14131.570000000065</v>
      </c>
      <c r="H140" s="486">
        <f t="shared" si="51"/>
        <v>29820.193871898082</v>
      </c>
      <c r="I140" s="542">
        <f t="shared" si="52"/>
        <v>29820.193871898082</v>
      </c>
      <c r="J140" s="478">
        <f t="shared" si="54"/>
        <v>0</v>
      </c>
      <c r="K140" s="478"/>
      <c r="L140" s="487"/>
      <c r="M140" s="478">
        <f t="shared" si="55"/>
        <v>0</v>
      </c>
      <c r="N140" s="487"/>
      <c r="O140" s="478">
        <f t="shared" si="56"/>
        <v>0</v>
      </c>
      <c r="P140" s="478">
        <f t="shared" si="57"/>
        <v>0</v>
      </c>
    </row>
    <row r="141" spans="2:16">
      <c r="B141" s="160" t="str">
        <f t="shared" si="58"/>
        <v/>
      </c>
      <c r="C141" s="472">
        <f>IF(D93="","-",+C140+1)</f>
        <v>2054</v>
      </c>
      <c r="D141" s="347">
        <f>IF(F140+SUM(E$99:E140)=D$92,F140,D$92-SUM(E$99:E140))</f>
        <v>0</v>
      </c>
      <c r="E141" s="486">
        <f t="shared" si="48"/>
        <v>0</v>
      </c>
      <c r="F141" s="485">
        <f t="shared" si="49"/>
        <v>0</v>
      </c>
      <c r="G141" s="485">
        <f t="shared" si="50"/>
        <v>0</v>
      </c>
      <c r="H141" s="486">
        <f t="shared" si="51"/>
        <v>0</v>
      </c>
      <c r="I141" s="542">
        <f t="shared" si="52"/>
        <v>0</v>
      </c>
      <c r="J141" s="478">
        <f t="shared" si="54"/>
        <v>0</v>
      </c>
      <c r="K141" s="478"/>
      <c r="L141" s="487"/>
      <c r="M141" s="478">
        <f t="shared" si="55"/>
        <v>0</v>
      </c>
      <c r="N141" s="487"/>
      <c r="O141" s="478">
        <f t="shared" si="56"/>
        <v>0</v>
      </c>
      <c r="P141" s="478">
        <f t="shared" si="57"/>
        <v>0</v>
      </c>
    </row>
    <row r="142" spans="2:16">
      <c r="B142" s="160" t="str">
        <f t="shared" si="58"/>
        <v/>
      </c>
      <c r="C142" s="472">
        <f>IF(D93="","-",+C141+1)</f>
        <v>2055</v>
      </c>
      <c r="D142" s="347">
        <f>IF(F141+SUM(E$99:E141)=D$92,F141,D$92-SUM(E$99:E141))</f>
        <v>0</v>
      </c>
      <c r="E142" s="486">
        <f t="shared" si="48"/>
        <v>0</v>
      </c>
      <c r="F142" s="485">
        <f t="shared" si="49"/>
        <v>0</v>
      </c>
      <c r="G142" s="485">
        <f t="shared" si="50"/>
        <v>0</v>
      </c>
      <c r="H142" s="486">
        <f t="shared" si="51"/>
        <v>0</v>
      </c>
      <c r="I142" s="542">
        <f t="shared" si="52"/>
        <v>0</v>
      </c>
      <c r="J142" s="478">
        <f t="shared" si="54"/>
        <v>0</v>
      </c>
      <c r="K142" s="478"/>
      <c r="L142" s="487"/>
      <c r="M142" s="478">
        <f t="shared" si="55"/>
        <v>0</v>
      </c>
      <c r="N142" s="487"/>
      <c r="O142" s="478">
        <f t="shared" si="56"/>
        <v>0</v>
      </c>
      <c r="P142" s="478">
        <f t="shared" si="57"/>
        <v>0</v>
      </c>
    </row>
    <row r="143" spans="2:16">
      <c r="B143" s="160" t="str">
        <f t="shared" si="58"/>
        <v/>
      </c>
      <c r="C143" s="472">
        <f>IF(D93="","-",+C142+1)</f>
        <v>2056</v>
      </c>
      <c r="D143" s="347">
        <f>IF(F142+SUM(E$99:E142)=D$92,F142,D$92-SUM(E$99:E142))</f>
        <v>0</v>
      </c>
      <c r="E143" s="486">
        <f t="shared" si="48"/>
        <v>0</v>
      </c>
      <c r="F143" s="485">
        <f t="shared" si="49"/>
        <v>0</v>
      </c>
      <c r="G143" s="485">
        <f t="shared" si="50"/>
        <v>0</v>
      </c>
      <c r="H143" s="486">
        <f t="shared" si="51"/>
        <v>0</v>
      </c>
      <c r="I143" s="542">
        <f t="shared" si="52"/>
        <v>0</v>
      </c>
      <c r="J143" s="478">
        <f t="shared" si="54"/>
        <v>0</v>
      </c>
      <c r="K143" s="478"/>
      <c r="L143" s="487"/>
      <c r="M143" s="478">
        <f t="shared" si="55"/>
        <v>0</v>
      </c>
      <c r="N143" s="487"/>
      <c r="O143" s="478">
        <f t="shared" si="56"/>
        <v>0</v>
      </c>
      <c r="P143" s="478">
        <f t="shared" si="57"/>
        <v>0</v>
      </c>
    </row>
    <row r="144" spans="2:16">
      <c r="B144" s="160" t="str">
        <f t="shared" si="58"/>
        <v/>
      </c>
      <c r="C144" s="472">
        <f>IF(D93="","-",+C143+1)</f>
        <v>2057</v>
      </c>
      <c r="D144" s="347">
        <f>IF(F143+SUM(E$99:E143)=D$92,F143,D$92-SUM(E$99:E143))</f>
        <v>0</v>
      </c>
      <c r="E144" s="486">
        <f t="shared" si="48"/>
        <v>0</v>
      </c>
      <c r="F144" s="485">
        <f t="shared" si="49"/>
        <v>0</v>
      </c>
      <c r="G144" s="485">
        <f t="shared" si="50"/>
        <v>0</v>
      </c>
      <c r="H144" s="486">
        <f t="shared" si="51"/>
        <v>0</v>
      </c>
      <c r="I144" s="542">
        <f t="shared" si="52"/>
        <v>0</v>
      </c>
      <c r="J144" s="478">
        <f t="shared" si="54"/>
        <v>0</v>
      </c>
      <c r="K144" s="478"/>
      <c r="L144" s="487"/>
      <c r="M144" s="478">
        <f t="shared" si="55"/>
        <v>0</v>
      </c>
      <c r="N144" s="487"/>
      <c r="O144" s="478">
        <f t="shared" si="56"/>
        <v>0</v>
      </c>
      <c r="P144" s="478">
        <f t="shared" si="57"/>
        <v>0</v>
      </c>
    </row>
    <row r="145" spans="2:16">
      <c r="B145" s="160" t="str">
        <f t="shared" si="58"/>
        <v/>
      </c>
      <c r="C145" s="472">
        <f>IF(D93="","-",+C144+1)</f>
        <v>2058</v>
      </c>
      <c r="D145" s="347">
        <f>IF(F144+SUM(E$99:E144)=D$92,F144,D$92-SUM(E$99:E144))</f>
        <v>0</v>
      </c>
      <c r="E145" s="486">
        <f t="shared" si="48"/>
        <v>0</v>
      </c>
      <c r="F145" s="485">
        <f t="shared" si="49"/>
        <v>0</v>
      </c>
      <c r="G145" s="485">
        <f t="shared" si="50"/>
        <v>0</v>
      </c>
      <c r="H145" s="486">
        <f t="shared" si="51"/>
        <v>0</v>
      </c>
      <c r="I145" s="542">
        <f t="shared" si="52"/>
        <v>0</v>
      </c>
      <c r="J145" s="478">
        <f t="shared" si="54"/>
        <v>0</v>
      </c>
      <c r="K145" s="478"/>
      <c r="L145" s="487"/>
      <c r="M145" s="478">
        <f t="shared" si="55"/>
        <v>0</v>
      </c>
      <c r="N145" s="487"/>
      <c r="O145" s="478">
        <f t="shared" si="56"/>
        <v>0</v>
      </c>
      <c r="P145" s="478">
        <f t="shared" si="57"/>
        <v>0</v>
      </c>
    </row>
    <row r="146" spans="2:16">
      <c r="B146" s="160" t="str">
        <f t="shared" si="58"/>
        <v/>
      </c>
      <c r="C146" s="472">
        <f>IF(D93="","-",+C145+1)</f>
        <v>2059</v>
      </c>
      <c r="D146" s="347">
        <f>IF(F145+SUM(E$99:E145)=D$92,F145,D$92-SUM(E$99:E145))</f>
        <v>0</v>
      </c>
      <c r="E146" s="486">
        <f t="shared" si="48"/>
        <v>0</v>
      </c>
      <c r="F146" s="485">
        <f t="shared" si="49"/>
        <v>0</v>
      </c>
      <c r="G146" s="485">
        <f t="shared" si="50"/>
        <v>0</v>
      </c>
      <c r="H146" s="486">
        <f t="shared" si="51"/>
        <v>0</v>
      </c>
      <c r="I146" s="542">
        <f t="shared" si="52"/>
        <v>0</v>
      </c>
      <c r="J146" s="478">
        <f t="shared" si="54"/>
        <v>0</v>
      </c>
      <c r="K146" s="478"/>
      <c r="L146" s="487"/>
      <c r="M146" s="478">
        <f t="shared" si="55"/>
        <v>0</v>
      </c>
      <c r="N146" s="487"/>
      <c r="O146" s="478">
        <f t="shared" si="56"/>
        <v>0</v>
      </c>
      <c r="P146" s="478">
        <f t="shared" si="57"/>
        <v>0</v>
      </c>
    </row>
    <row r="147" spans="2:16">
      <c r="B147" s="160" t="str">
        <f t="shared" si="58"/>
        <v/>
      </c>
      <c r="C147" s="472">
        <f>IF(D93="","-",+C146+1)</f>
        <v>2060</v>
      </c>
      <c r="D147" s="347">
        <f>IF(F146+SUM(E$99:E146)=D$92,F146,D$92-SUM(E$99:E146))</f>
        <v>0</v>
      </c>
      <c r="E147" s="486">
        <f t="shared" si="48"/>
        <v>0</v>
      </c>
      <c r="F147" s="485">
        <f t="shared" si="49"/>
        <v>0</v>
      </c>
      <c r="G147" s="485">
        <f t="shared" si="50"/>
        <v>0</v>
      </c>
      <c r="H147" s="486">
        <f t="shared" si="51"/>
        <v>0</v>
      </c>
      <c r="I147" s="542">
        <f t="shared" si="52"/>
        <v>0</v>
      </c>
      <c r="J147" s="478">
        <f t="shared" si="54"/>
        <v>0</v>
      </c>
      <c r="K147" s="478"/>
      <c r="L147" s="487"/>
      <c r="M147" s="478">
        <f t="shared" si="55"/>
        <v>0</v>
      </c>
      <c r="N147" s="487"/>
      <c r="O147" s="478">
        <f t="shared" si="56"/>
        <v>0</v>
      </c>
      <c r="P147" s="478">
        <f t="shared" si="57"/>
        <v>0</v>
      </c>
    </row>
    <row r="148" spans="2:16">
      <c r="B148" s="160" t="str">
        <f t="shared" si="58"/>
        <v/>
      </c>
      <c r="C148" s="472">
        <f>IF(D93="","-",+C147+1)</f>
        <v>2061</v>
      </c>
      <c r="D148" s="347">
        <f>IF(F147+SUM(E$99:E147)=D$92,F147,D$92-SUM(E$99:E147))</f>
        <v>0</v>
      </c>
      <c r="E148" s="486">
        <f t="shared" si="48"/>
        <v>0</v>
      </c>
      <c r="F148" s="485">
        <f t="shared" si="49"/>
        <v>0</v>
      </c>
      <c r="G148" s="485">
        <f t="shared" si="50"/>
        <v>0</v>
      </c>
      <c r="H148" s="486">
        <f t="shared" si="51"/>
        <v>0</v>
      </c>
      <c r="I148" s="542">
        <f t="shared" si="52"/>
        <v>0</v>
      </c>
      <c r="J148" s="478">
        <f t="shared" si="54"/>
        <v>0</v>
      </c>
      <c r="K148" s="478"/>
      <c r="L148" s="487"/>
      <c r="M148" s="478">
        <f t="shared" si="55"/>
        <v>0</v>
      </c>
      <c r="N148" s="487"/>
      <c r="O148" s="478">
        <f t="shared" si="56"/>
        <v>0</v>
      </c>
      <c r="P148" s="478">
        <f t="shared" si="57"/>
        <v>0</v>
      </c>
    </row>
    <row r="149" spans="2:16">
      <c r="B149" s="160" t="str">
        <f t="shared" si="58"/>
        <v/>
      </c>
      <c r="C149" s="472">
        <f>IF(D93="","-",+C148+1)</f>
        <v>2062</v>
      </c>
      <c r="D149" s="347">
        <f>IF(F148+SUM(E$99:E148)=D$92,F148,D$92-SUM(E$99:E148))</f>
        <v>0</v>
      </c>
      <c r="E149" s="486">
        <f t="shared" si="48"/>
        <v>0</v>
      </c>
      <c r="F149" s="485">
        <f t="shared" si="49"/>
        <v>0</v>
      </c>
      <c r="G149" s="485">
        <f t="shared" si="50"/>
        <v>0</v>
      </c>
      <c r="H149" s="486">
        <f t="shared" si="51"/>
        <v>0</v>
      </c>
      <c r="I149" s="542">
        <f t="shared" si="52"/>
        <v>0</v>
      </c>
      <c r="J149" s="478">
        <f t="shared" si="54"/>
        <v>0</v>
      </c>
      <c r="K149" s="478"/>
      <c r="L149" s="487"/>
      <c r="M149" s="478">
        <f t="shared" si="55"/>
        <v>0</v>
      </c>
      <c r="N149" s="487"/>
      <c r="O149" s="478">
        <f t="shared" si="56"/>
        <v>0</v>
      </c>
      <c r="P149" s="478">
        <f t="shared" si="57"/>
        <v>0</v>
      </c>
    </row>
    <row r="150" spans="2:16">
      <c r="B150" s="160" t="str">
        <f t="shared" si="58"/>
        <v/>
      </c>
      <c r="C150" s="472">
        <f>IF(D93="","-",+C149+1)</f>
        <v>2063</v>
      </c>
      <c r="D150" s="347">
        <f>IF(F149+SUM(E$99:E149)=D$92,F149,D$92-SUM(E$99:E149))</f>
        <v>0</v>
      </c>
      <c r="E150" s="486">
        <f t="shared" si="48"/>
        <v>0</v>
      </c>
      <c r="F150" s="485">
        <f t="shared" si="49"/>
        <v>0</v>
      </c>
      <c r="G150" s="485">
        <f t="shared" si="50"/>
        <v>0</v>
      </c>
      <c r="H150" s="486">
        <f t="shared" si="51"/>
        <v>0</v>
      </c>
      <c r="I150" s="542">
        <f t="shared" si="52"/>
        <v>0</v>
      </c>
      <c r="J150" s="478">
        <f t="shared" si="54"/>
        <v>0</v>
      </c>
      <c r="K150" s="478"/>
      <c r="L150" s="487"/>
      <c r="M150" s="478">
        <f t="shared" si="55"/>
        <v>0</v>
      </c>
      <c r="N150" s="487"/>
      <c r="O150" s="478">
        <f t="shared" si="56"/>
        <v>0</v>
      </c>
      <c r="P150" s="478">
        <f t="shared" si="57"/>
        <v>0</v>
      </c>
    </row>
    <row r="151" spans="2:16">
      <c r="B151" s="160" t="str">
        <f t="shared" si="58"/>
        <v/>
      </c>
      <c r="C151" s="472">
        <f>IF(D93="","-",+C150+1)</f>
        <v>2064</v>
      </c>
      <c r="D151" s="347">
        <f>IF(F150+SUM(E$99:E150)=D$92,F150,D$92-SUM(E$99:E150))</f>
        <v>0</v>
      </c>
      <c r="E151" s="486">
        <f t="shared" si="48"/>
        <v>0</v>
      </c>
      <c r="F151" s="485">
        <f t="shared" si="49"/>
        <v>0</v>
      </c>
      <c r="G151" s="485">
        <f t="shared" si="50"/>
        <v>0</v>
      </c>
      <c r="H151" s="486">
        <f t="shared" si="51"/>
        <v>0</v>
      </c>
      <c r="I151" s="542">
        <f t="shared" si="52"/>
        <v>0</v>
      </c>
      <c r="J151" s="478">
        <f t="shared" si="54"/>
        <v>0</v>
      </c>
      <c r="K151" s="478"/>
      <c r="L151" s="487"/>
      <c r="M151" s="478">
        <f t="shared" si="55"/>
        <v>0</v>
      </c>
      <c r="N151" s="487"/>
      <c r="O151" s="478">
        <f t="shared" si="56"/>
        <v>0</v>
      </c>
      <c r="P151" s="478">
        <f t="shared" si="57"/>
        <v>0</v>
      </c>
    </row>
    <row r="152" spans="2:16">
      <c r="B152" s="160" t="str">
        <f t="shared" si="58"/>
        <v/>
      </c>
      <c r="C152" s="472">
        <f>IF(D93="","-",+C151+1)</f>
        <v>2065</v>
      </c>
      <c r="D152" s="347">
        <f>IF(F151+SUM(E$99:E151)=D$92,F151,D$92-SUM(E$99:E151))</f>
        <v>0</v>
      </c>
      <c r="E152" s="486">
        <f t="shared" si="48"/>
        <v>0</v>
      </c>
      <c r="F152" s="485">
        <f t="shared" si="49"/>
        <v>0</v>
      </c>
      <c r="G152" s="485">
        <f t="shared" si="50"/>
        <v>0</v>
      </c>
      <c r="H152" s="486">
        <f t="shared" si="51"/>
        <v>0</v>
      </c>
      <c r="I152" s="542">
        <f t="shared" si="52"/>
        <v>0</v>
      </c>
      <c r="J152" s="478">
        <f t="shared" si="54"/>
        <v>0</v>
      </c>
      <c r="K152" s="478"/>
      <c r="L152" s="487"/>
      <c r="M152" s="478">
        <f t="shared" si="55"/>
        <v>0</v>
      </c>
      <c r="N152" s="487"/>
      <c r="O152" s="478">
        <f t="shared" si="56"/>
        <v>0</v>
      </c>
      <c r="P152" s="478">
        <f t="shared" si="57"/>
        <v>0</v>
      </c>
    </row>
    <row r="153" spans="2:16">
      <c r="B153" s="160" t="str">
        <f t="shared" si="58"/>
        <v/>
      </c>
      <c r="C153" s="472">
        <f>IF(D93="","-",+C152+1)</f>
        <v>2066</v>
      </c>
      <c r="D153" s="347">
        <f>IF(F152+SUM(E$99:E152)=D$92,F152,D$92-SUM(E$99:E152))</f>
        <v>0</v>
      </c>
      <c r="E153" s="486">
        <f t="shared" si="48"/>
        <v>0</v>
      </c>
      <c r="F153" s="485">
        <f t="shared" si="49"/>
        <v>0</v>
      </c>
      <c r="G153" s="485">
        <f t="shared" si="50"/>
        <v>0</v>
      </c>
      <c r="H153" s="486">
        <f t="shared" si="51"/>
        <v>0</v>
      </c>
      <c r="I153" s="542">
        <f t="shared" si="52"/>
        <v>0</v>
      </c>
      <c r="J153" s="478">
        <f t="shared" si="54"/>
        <v>0</v>
      </c>
      <c r="K153" s="478"/>
      <c r="L153" s="487"/>
      <c r="M153" s="478">
        <f t="shared" si="55"/>
        <v>0</v>
      </c>
      <c r="N153" s="487"/>
      <c r="O153" s="478">
        <f t="shared" si="56"/>
        <v>0</v>
      </c>
      <c r="P153" s="478">
        <f t="shared" si="57"/>
        <v>0</v>
      </c>
    </row>
    <row r="154" spans="2:16" ht="13.5" thickBot="1">
      <c r="B154" s="160" t="str">
        <f t="shared" si="58"/>
        <v/>
      </c>
      <c r="C154" s="489">
        <f>IF(D93="","-",+C153+1)</f>
        <v>2067</v>
      </c>
      <c r="D154" s="543">
        <f>IF(F153+SUM(E$99:E153)=D$92,F153,D$92-SUM(E$99:E153))</f>
        <v>0</v>
      </c>
      <c r="E154" s="544">
        <f t="shared" si="48"/>
        <v>0</v>
      </c>
      <c r="F154" s="490">
        <f t="shared" si="49"/>
        <v>0</v>
      </c>
      <c r="G154" s="490">
        <f t="shared" si="50"/>
        <v>0</v>
      </c>
      <c r="H154" s="492">
        <f t="shared" ref="H154" si="59">+J$94*G154+E154</f>
        <v>0</v>
      </c>
      <c r="I154" s="545">
        <f t="shared" ref="I154" si="60">+J$95*G154+E154</f>
        <v>0</v>
      </c>
      <c r="J154" s="495">
        <f t="shared" si="54"/>
        <v>0</v>
      </c>
      <c r="K154" s="478"/>
      <c r="L154" s="494"/>
      <c r="M154" s="495">
        <f t="shared" si="55"/>
        <v>0</v>
      </c>
      <c r="N154" s="494"/>
      <c r="O154" s="495">
        <f t="shared" si="56"/>
        <v>0</v>
      </c>
      <c r="P154" s="495">
        <f t="shared" si="57"/>
        <v>0</v>
      </c>
    </row>
    <row r="155" spans="2:16">
      <c r="C155" s="347" t="s">
        <v>77</v>
      </c>
      <c r="D155" s="348"/>
      <c r="E155" s="348">
        <f>SUM(E99:E154)</f>
        <v>3305767.14</v>
      </c>
      <c r="F155" s="348"/>
      <c r="G155" s="348"/>
      <c r="H155" s="348">
        <f>SUM(H99:H154)</f>
        <v>11270774.568097893</v>
      </c>
      <c r="I155" s="348">
        <f>SUM(I99:I154)</f>
        <v>11270774.568097893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8:C72">
    <cfRule type="cellIs" dxfId="44" priority="2" stopIfTrue="1" operator="equal">
      <formula>$I$10</formula>
    </cfRule>
  </conditionalFormatting>
  <conditionalFormatting sqref="C99:C154">
    <cfRule type="cellIs" dxfId="43" priority="3" stopIfTrue="1" operator="equal">
      <formula>$J$92</formula>
    </cfRule>
  </conditionalFormatting>
  <conditionalFormatting sqref="C17">
    <cfRule type="cellIs" dxfId="42" priority="1" stopIfTrue="1" operator="equal">
      <formula>$I$10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C00000"/>
  </sheetPr>
  <dimension ref="A1:P162"/>
  <sheetViews>
    <sheetView view="pageBreakPreview" zoomScale="75" zoomScaleNormal="100" workbookViewId="0">
      <selection activeCell="D92" sqref="D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13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2369.1190476190477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2369.1190476190477</v>
      </c>
      <c r="O6" s="233"/>
      <c r="P6" s="233"/>
    </row>
    <row r="7" spans="1:16" ht="13.5" thickBot="1">
      <c r="C7" s="431" t="s">
        <v>46</v>
      </c>
      <c r="D7" s="432" t="s">
        <v>256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236</v>
      </c>
      <c r="E9" s="577" t="s">
        <v>291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22097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526.11904761904759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9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D11</f>
        <v>2010</v>
      </c>
      <c r="D17" s="473">
        <v>0</v>
      </c>
      <c r="E17" s="479">
        <v>0</v>
      </c>
      <c r="F17" s="479">
        <v>0</v>
      </c>
      <c r="G17" s="479">
        <v>0</v>
      </c>
      <c r="H17" s="588">
        <v>0</v>
      </c>
      <c r="I17" s="475">
        <f t="shared" ref="I17:I48" si="0">H17-G17</f>
        <v>0</v>
      </c>
      <c r="J17" s="349"/>
      <c r="K17" s="476">
        <f t="shared" ref="K17:K22" si="1">G17</f>
        <v>0</v>
      </c>
      <c r="L17" s="589">
        <f t="shared" ref="L17:L48" si="2">IF(K17&lt;&gt;0,+G17-K17,0)</f>
        <v>0</v>
      </c>
      <c r="M17" s="476">
        <f t="shared" ref="M17:M22" si="3">H17</f>
        <v>0</v>
      </c>
      <c r="N17" s="559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 t="shared" ref="B18:B49" si="6">IF(D18=F17,"","IU")</f>
        <v/>
      </c>
      <c r="C18" s="472">
        <f>IF($D$11="","-",+C17+1)</f>
        <v>2011</v>
      </c>
      <c r="D18" s="473">
        <v>0</v>
      </c>
      <c r="E18" s="479">
        <v>0</v>
      </c>
      <c r="F18" s="479">
        <v>0</v>
      </c>
      <c r="G18" s="479">
        <v>0</v>
      </c>
      <c r="H18" s="588">
        <v>0</v>
      </c>
      <c r="I18" s="475">
        <f t="shared" si="0"/>
        <v>0</v>
      </c>
      <c r="J18" s="349"/>
      <c r="K18" s="476">
        <f t="shared" si="1"/>
        <v>0</v>
      </c>
      <c r="L18" s="349">
        <f t="shared" si="2"/>
        <v>0</v>
      </c>
      <c r="M18" s="476">
        <f t="shared" si="3"/>
        <v>0</v>
      </c>
      <c r="N18" s="475">
        <f t="shared" si="4"/>
        <v>0</v>
      </c>
      <c r="O18" s="478">
        <f t="shared" si="5"/>
        <v>0</v>
      </c>
      <c r="P18" s="243"/>
    </row>
    <row r="19" spans="2:16">
      <c r="B19" s="160" t="str">
        <f t="shared" si="6"/>
        <v>IU</v>
      </c>
      <c r="C19" s="472">
        <f>IF(D11="","-",+C18+1)</f>
        <v>2012</v>
      </c>
      <c r="D19" s="473">
        <v>22097</v>
      </c>
      <c r="E19" s="480">
        <v>212.47115384615381</v>
      </c>
      <c r="F19" s="473">
        <v>21884.528846153848</v>
      </c>
      <c r="G19" s="480">
        <v>3258.944937760969</v>
      </c>
      <c r="H19" s="481">
        <v>3258.944937760969</v>
      </c>
      <c r="I19" s="475">
        <f>H19-G19</f>
        <v>0</v>
      </c>
      <c r="J19" s="349"/>
      <c r="K19" s="476">
        <f t="shared" si="1"/>
        <v>3258.944937760969</v>
      </c>
      <c r="L19" s="349">
        <f t="shared" si="2"/>
        <v>0</v>
      </c>
      <c r="M19" s="476">
        <f t="shared" si="3"/>
        <v>3258.944937760969</v>
      </c>
      <c r="N19" s="475">
        <f t="shared" si="4"/>
        <v>0</v>
      </c>
      <c r="O19" s="478">
        <f t="shared" si="5"/>
        <v>0</v>
      </c>
      <c r="P19" s="243"/>
    </row>
    <row r="20" spans="2:16">
      <c r="B20" s="160" t="str">
        <f t="shared" si="6"/>
        <v/>
      </c>
      <c r="C20" s="472">
        <f>IF(D11="","-",+C19+1)</f>
        <v>2013</v>
      </c>
      <c r="D20" s="473">
        <v>21884.528846153848</v>
      </c>
      <c r="E20" s="480">
        <v>424.94230769230768</v>
      </c>
      <c r="F20" s="473">
        <v>21459.586538461539</v>
      </c>
      <c r="G20" s="480">
        <v>3489.9423076923076</v>
      </c>
      <c r="H20" s="481">
        <v>3489.9423076923076</v>
      </c>
      <c r="I20" s="475">
        <v>0</v>
      </c>
      <c r="J20" s="475"/>
      <c r="K20" s="476">
        <f t="shared" si="1"/>
        <v>3489.9423076923076</v>
      </c>
      <c r="L20" s="349">
        <f t="shared" ref="L20:L25" si="7">IF(K20&lt;&gt;0,+G20-K20,0)</f>
        <v>0</v>
      </c>
      <c r="M20" s="476">
        <f t="shared" si="3"/>
        <v>3489.9423076923076</v>
      </c>
      <c r="N20" s="475">
        <f t="shared" ref="N20:N25" si="8">IF(M20&lt;&gt;0,+H20-M20,0)</f>
        <v>0</v>
      </c>
      <c r="O20" s="478">
        <f t="shared" ref="O20:O25" si="9">+N20-L20</f>
        <v>0</v>
      </c>
      <c r="P20" s="243"/>
    </row>
    <row r="21" spans="2:16">
      <c r="B21" s="160" t="str">
        <f t="shared" si="6"/>
        <v/>
      </c>
      <c r="C21" s="472">
        <f>IF(D11="","-",+C20+1)</f>
        <v>2014</v>
      </c>
      <c r="D21" s="473">
        <v>21459.586538461539</v>
      </c>
      <c r="E21" s="480">
        <v>424.94230769230768</v>
      </c>
      <c r="F21" s="473">
        <v>21034.64423076923</v>
      </c>
      <c r="G21" s="480">
        <v>3320.9423076923076</v>
      </c>
      <c r="H21" s="481">
        <v>3320.9423076923076</v>
      </c>
      <c r="I21" s="475">
        <v>0</v>
      </c>
      <c r="J21" s="475"/>
      <c r="K21" s="476">
        <f t="shared" si="1"/>
        <v>3320.9423076923076</v>
      </c>
      <c r="L21" s="349">
        <f t="shared" si="7"/>
        <v>0</v>
      </c>
      <c r="M21" s="476">
        <f t="shared" si="3"/>
        <v>3320.9423076923076</v>
      </c>
      <c r="N21" s="475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2015</v>
      </c>
      <c r="D22" s="473">
        <v>21034.64423076923</v>
      </c>
      <c r="E22" s="480">
        <v>424.94230769230768</v>
      </c>
      <c r="F22" s="473">
        <v>20609.701923076922</v>
      </c>
      <c r="G22" s="480">
        <v>3265.9423076923076</v>
      </c>
      <c r="H22" s="481">
        <v>3265.9423076923076</v>
      </c>
      <c r="I22" s="475">
        <v>0</v>
      </c>
      <c r="J22" s="475"/>
      <c r="K22" s="476">
        <f t="shared" si="1"/>
        <v>3265.9423076923076</v>
      </c>
      <c r="L22" s="349">
        <f t="shared" si="7"/>
        <v>0</v>
      </c>
      <c r="M22" s="476">
        <f t="shared" si="3"/>
        <v>3265.9423076923076</v>
      </c>
      <c r="N22" s="475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2016</v>
      </c>
      <c r="D23" s="473">
        <v>20609.701923076922</v>
      </c>
      <c r="E23" s="480">
        <v>424.94230769230768</v>
      </c>
      <c r="F23" s="473">
        <v>20184.759615384613</v>
      </c>
      <c r="G23" s="480">
        <v>3071.9423076923076</v>
      </c>
      <c r="H23" s="481">
        <v>3071.9423076923076</v>
      </c>
      <c r="I23" s="475">
        <f t="shared" si="0"/>
        <v>0</v>
      </c>
      <c r="J23" s="475"/>
      <c r="K23" s="476">
        <f t="shared" ref="K23:K28" si="10">G23</f>
        <v>3071.9423076923076</v>
      </c>
      <c r="L23" s="349">
        <f t="shared" si="7"/>
        <v>0</v>
      </c>
      <c r="M23" s="476">
        <f t="shared" ref="M23:M28" si="11">H23</f>
        <v>3071.9423076923076</v>
      </c>
      <c r="N23" s="475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2017</v>
      </c>
      <c r="D24" s="473">
        <v>20184.759615384613</v>
      </c>
      <c r="E24" s="480">
        <v>480.36956521739131</v>
      </c>
      <c r="F24" s="473">
        <v>19704.390050167221</v>
      </c>
      <c r="G24" s="480">
        <v>2988.3695652173915</v>
      </c>
      <c r="H24" s="481">
        <v>2988.3695652173915</v>
      </c>
      <c r="I24" s="475">
        <f t="shared" si="0"/>
        <v>0</v>
      </c>
      <c r="J24" s="475"/>
      <c r="K24" s="476">
        <f t="shared" si="10"/>
        <v>2988.3695652173915</v>
      </c>
      <c r="L24" s="349">
        <f t="shared" si="7"/>
        <v>0</v>
      </c>
      <c r="M24" s="476">
        <f t="shared" si="11"/>
        <v>2988.3695652173915</v>
      </c>
      <c r="N24" s="475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2018</v>
      </c>
      <c r="D25" s="473">
        <v>19704.390050167221</v>
      </c>
      <c r="E25" s="480">
        <v>491.04444444444442</v>
      </c>
      <c r="F25" s="473">
        <v>19213.345605722778</v>
      </c>
      <c r="G25" s="480">
        <v>2821.4178428916557</v>
      </c>
      <c r="H25" s="481">
        <v>2821.4178428916557</v>
      </c>
      <c r="I25" s="475">
        <f t="shared" si="0"/>
        <v>0</v>
      </c>
      <c r="J25" s="475"/>
      <c r="K25" s="476">
        <f t="shared" si="10"/>
        <v>2821.4178428916557</v>
      </c>
      <c r="L25" s="349">
        <f t="shared" si="7"/>
        <v>0</v>
      </c>
      <c r="M25" s="476">
        <f t="shared" si="11"/>
        <v>2821.4178428916557</v>
      </c>
      <c r="N25" s="475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2019</v>
      </c>
      <c r="D26" s="473">
        <v>19213.345605722778</v>
      </c>
      <c r="E26" s="480">
        <v>552.42499999999995</v>
      </c>
      <c r="F26" s="473">
        <v>18660.920605722778</v>
      </c>
      <c r="G26" s="480">
        <v>2666.8814890183439</v>
      </c>
      <c r="H26" s="481">
        <v>2666.8814890183439</v>
      </c>
      <c r="I26" s="475">
        <f t="shared" si="0"/>
        <v>0</v>
      </c>
      <c r="J26" s="475"/>
      <c r="K26" s="476">
        <f t="shared" si="10"/>
        <v>2666.8814890183439</v>
      </c>
      <c r="L26" s="349">
        <f t="shared" ref="L26" si="12">IF(K26&lt;&gt;0,+G26-K26,0)</f>
        <v>0</v>
      </c>
      <c r="M26" s="476">
        <f t="shared" si="11"/>
        <v>2666.8814890183439</v>
      </c>
      <c r="N26" s="475">
        <f t="shared" ref="N26" si="13">IF(M26&lt;&gt;0,+H26-M26,0)</f>
        <v>0</v>
      </c>
      <c r="O26" s="478">
        <f t="shared" si="5"/>
        <v>0</v>
      </c>
      <c r="P26" s="243"/>
    </row>
    <row r="27" spans="2:16">
      <c r="B27" s="160" t="str">
        <f t="shared" si="6"/>
        <v>IU</v>
      </c>
      <c r="C27" s="472">
        <f>IF(D11="","-",+C26+1)</f>
        <v>2020</v>
      </c>
      <c r="D27" s="473">
        <v>18722.301161278334</v>
      </c>
      <c r="E27" s="480">
        <v>526.11904761904759</v>
      </c>
      <c r="F27" s="473">
        <v>18196.182113659288</v>
      </c>
      <c r="G27" s="480">
        <v>2519.8053226007855</v>
      </c>
      <c r="H27" s="481">
        <v>2519.8053226007855</v>
      </c>
      <c r="I27" s="475">
        <f t="shared" si="0"/>
        <v>0</v>
      </c>
      <c r="J27" s="475"/>
      <c r="K27" s="476">
        <f t="shared" si="10"/>
        <v>2519.8053226007855</v>
      </c>
      <c r="L27" s="349">
        <f t="shared" ref="L27" si="14">IF(K27&lt;&gt;0,+G27-K27,0)</f>
        <v>0</v>
      </c>
      <c r="M27" s="476">
        <f t="shared" si="11"/>
        <v>2519.8053226007855</v>
      </c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>IU</v>
      </c>
      <c r="C28" s="472">
        <f>IF(D11="","-",+C27+1)</f>
        <v>2021</v>
      </c>
      <c r="D28" s="473">
        <v>18134.801558103733</v>
      </c>
      <c r="E28" s="480">
        <v>513.88372093023258</v>
      </c>
      <c r="F28" s="473">
        <v>17620.9178371735</v>
      </c>
      <c r="G28" s="480">
        <v>2413.8837209302328</v>
      </c>
      <c r="H28" s="481">
        <v>2413.8837209302328</v>
      </c>
      <c r="I28" s="475">
        <f t="shared" si="0"/>
        <v>0</v>
      </c>
      <c r="J28" s="475"/>
      <c r="K28" s="476">
        <f t="shared" si="10"/>
        <v>2413.8837209302328</v>
      </c>
      <c r="L28" s="349">
        <f t="shared" ref="L28" si="15">IF(K28&lt;&gt;0,+G28-K28,0)</f>
        <v>0</v>
      </c>
      <c r="M28" s="476">
        <f t="shared" si="11"/>
        <v>2413.8837209302328</v>
      </c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/>
      </c>
      <c r="C29" s="472">
        <f>IF(D11="","-",+C28+1)</f>
        <v>2022</v>
      </c>
      <c r="D29" s="473">
        <v>17620.9178371735</v>
      </c>
      <c r="E29" s="480">
        <v>526.11904761904759</v>
      </c>
      <c r="F29" s="473">
        <v>17094.798789554454</v>
      </c>
      <c r="G29" s="480">
        <v>2369.1190476190477</v>
      </c>
      <c r="H29" s="481">
        <v>2369.1190476190477</v>
      </c>
      <c r="I29" s="475">
        <f t="shared" si="0"/>
        <v>0</v>
      </c>
      <c r="J29" s="475"/>
      <c r="K29" s="476">
        <f t="shared" ref="K29" si="16">G29</f>
        <v>2369.1190476190477</v>
      </c>
      <c r="L29" s="349">
        <f t="shared" ref="L29" si="17">IF(K29&lt;&gt;0,+G29-K29,0)</f>
        <v>0</v>
      </c>
      <c r="M29" s="476">
        <f t="shared" ref="M29" si="18">H29</f>
        <v>2369.1190476190477</v>
      </c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17094.798789554454</v>
      </c>
      <c r="E30" s="484">
        <f>IF(+I14&lt;F29,I14,D30)</f>
        <v>526.11904761904759</v>
      </c>
      <c r="F30" s="485">
        <f t="shared" ref="F30:F48" si="19">+D30-E30</f>
        <v>16568.679741935408</v>
      </c>
      <c r="G30" s="486">
        <f t="shared" ref="G30:G72" si="20">(D30+F30)/2*I$12+E30</f>
        <v>2340.7698269618468</v>
      </c>
      <c r="H30" s="455">
        <f t="shared" ref="H30:H72" si="21">+(D30+F30)/2*I$13+E30</f>
        <v>2340.7698269618468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16568.679741935408</v>
      </c>
      <c r="E31" s="484">
        <f>IF(+I14&lt;F30,I14,D31)</f>
        <v>526.11904761904759</v>
      </c>
      <c r="F31" s="485">
        <f t="shared" si="19"/>
        <v>16042.56069431636</v>
      </c>
      <c r="G31" s="486">
        <f t="shared" si="20"/>
        <v>2284.0482769951122</v>
      </c>
      <c r="H31" s="455">
        <f t="shared" si="21"/>
        <v>2284.0482769951122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16042.56069431636</v>
      </c>
      <c r="E32" s="484">
        <f>IF(+I14&lt;F31,I14,D32)</f>
        <v>526.11904761904759</v>
      </c>
      <c r="F32" s="485">
        <f t="shared" si="19"/>
        <v>15516.441646697313</v>
      </c>
      <c r="G32" s="486">
        <f t="shared" si="20"/>
        <v>2227.3267270283777</v>
      </c>
      <c r="H32" s="455">
        <f t="shared" si="21"/>
        <v>2227.3267270283777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15516.441646697313</v>
      </c>
      <c r="E33" s="484">
        <f>IF(+I14&lt;F32,I14,D33)</f>
        <v>526.11904761904759</v>
      </c>
      <c r="F33" s="485">
        <f t="shared" si="19"/>
        <v>14990.322599078265</v>
      </c>
      <c r="G33" s="486">
        <f t="shared" si="20"/>
        <v>2170.6051770616436</v>
      </c>
      <c r="H33" s="455">
        <f t="shared" si="21"/>
        <v>2170.6051770616436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14990.322599078265</v>
      </c>
      <c r="E34" s="484">
        <f>IF(+I14&lt;F33,I14,D34)</f>
        <v>526.11904761904759</v>
      </c>
      <c r="F34" s="485">
        <f t="shared" si="19"/>
        <v>14464.203551459217</v>
      </c>
      <c r="G34" s="486">
        <f t="shared" si="20"/>
        <v>2113.8836270949091</v>
      </c>
      <c r="H34" s="455">
        <f t="shared" si="21"/>
        <v>2113.8836270949091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14464.203551459217</v>
      </c>
      <c r="E35" s="484">
        <f>IF(+I14&lt;F34,I14,D35)</f>
        <v>526.11904761904759</v>
      </c>
      <c r="F35" s="485">
        <f t="shared" si="19"/>
        <v>13938.084503840169</v>
      </c>
      <c r="G35" s="486">
        <f t="shared" si="20"/>
        <v>2057.162077128175</v>
      </c>
      <c r="H35" s="455">
        <f t="shared" si="21"/>
        <v>2057.162077128175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13938.084503840169</v>
      </c>
      <c r="E36" s="484">
        <f>IF(+I14&lt;F35,I14,D36)</f>
        <v>526.11904761904759</v>
      </c>
      <c r="F36" s="485">
        <f t="shared" si="19"/>
        <v>13411.965456221122</v>
      </c>
      <c r="G36" s="486">
        <f t="shared" si="20"/>
        <v>2000.4405271614405</v>
      </c>
      <c r="H36" s="455">
        <f t="shared" si="21"/>
        <v>2000.4405271614405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13411.965456221122</v>
      </c>
      <c r="E37" s="484">
        <f>IF(+I14&lt;F36,I14,D37)</f>
        <v>526.11904761904759</v>
      </c>
      <c r="F37" s="485">
        <f t="shared" si="19"/>
        <v>12885.846408602074</v>
      </c>
      <c r="G37" s="486">
        <f t="shared" si="20"/>
        <v>1943.718977194706</v>
      </c>
      <c r="H37" s="455">
        <f t="shared" si="21"/>
        <v>1943.718977194706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12885.846408602074</v>
      </c>
      <c r="E38" s="484">
        <f>IF(+I14&lt;F37,I14,D38)</f>
        <v>526.11904761904759</v>
      </c>
      <c r="F38" s="485">
        <f t="shared" si="19"/>
        <v>12359.727360983026</v>
      </c>
      <c r="G38" s="486">
        <f t="shared" si="20"/>
        <v>1886.9974272279715</v>
      </c>
      <c r="H38" s="455">
        <f t="shared" si="21"/>
        <v>1886.9974272279715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12359.727360983026</v>
      </c>
      <c r="E39" s="484">
        <f>IF(+I14&lt;F38,I14,D39)</f>
        <v>526.11904761904759</v>
      </c>
      <c r="F39" s="485">
        <f t="shared" si="19"/>
        <v>11833.608313363979</v>
      </c>
      <c r="G39" s="486">
        <f t="shared" si="20"/>
        <v>1830.2758772612374</v>
      </c>
      <c r="H39" s="455">
        <f t="shared" si="21"/>
        <v>1830.2758772612374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11833.608313363979</v>
      </c>
      <c r="E40" s="484">
        <f>IF(+I14&lt;F39,I14,D40)</f>
        <v>526.11904761904759</v>
      </c>
      <c r="F40" s="485">
        <f t="shared" si="19"/>
        <v>11307.489265744931</v>
      </c>
      <c r="G40" s="486">
        <f t="shared" si="20"/>
        <v>1773.5543272945029</v>
      </c>
      <c r="H40" s="455">
        <f t="shared" si="21"/>
        <v>1773.5543272945029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11307.489265744931</v>
      </c>
      <c r="E41" s="484">
        <f>IF(+I14&lt;F40,I14,D41)</f>
        <v>526.11904761904759</v>
      </c>
      <c r="F41" s="485">
        <f t="shared" si="19"/>
        <v>10781.370218125883</v>
      </c>
      <c r="G41" s="486">
        <f t="shared" si="20"/>
        <v>1716.8327773277688</v>
      </c>
      <c r="H41" s="455">
        <f t="shared" si="21"/>
        <v>1716.8327773277688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10781.370218125883</v>
      </c>
      <c r="E42" s="484">
        <f>IF(+I14&lt;F41,I14,D42)</f>
        <v>526.11904761904759</v>
      </c>
      <c r="F42" s="485">
        <f t="shared" si="19"/>
        <v>10255.251170506835</v>
      </c>
      <c r="G42" s="486">
        <f t="shared" si="20"/>
        <v>1660.1112273610343</v>
      </c>
      <c r="H42" s="455">
        <f t="shared" si="21"/>
        <v>1660.1112273610343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10255.251170506835</v>
      </c>
      <c r="E43" s="484">
        <f>IF(+I14&lt;F42,I14,D43)</f>
        <v>526.11904761904759</v>
      </c>
      <c r="F43" s="485">
        <f t="shared" si="19"/>
        <v>9729.1321228877878</v>
      </c>
      <c r="G43" s="486">
        <f t="shared" si="20"/>
        <v>1603.3896773942997</v>
      </c>
      <c r="H43" s="455">
        <f t="shared" si="21"/>
        <v>1603.3896773942997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9729.1321228877878</v>
      </c>
      <c r="E44" s="484">
        <f>IF(+I14&lt;F43,I14,D44)</f>
        <v>526.11904761904759</v>
      </c>
      <c r="F44" s="485">
        <f t="shared" si="19"/>
        <v>9203.0130752687401</v>
      </c>
      <c r="G44" s="486">
        <f t="shared" si="20"/>
        <v>1546.6681274275652</v>
      </c>
      <c r="H44" s="455">
        <f t="shared" si="21"/>
        <v>1546.6681274275652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9203.0130752687401</v>
      </c>
      <c r="E45" s="484">
        <f>IF(+I14&lt;F44,I14,D45)</f>
        <v>526.11904761904759</v>
      </c>
      <c r="F45" s="485">
        <f t="shared" si="19"/>
        <v>8676.8940276496924</v>
      </c>
      <c r="G45" s="486">
        <f t="shared" si="20"/>
        <v>1489.9465774608311</v>
      </c>
      <c r="H45" s="455">
        <f t="shared" si="21"/>
        <v>1489.9465774608311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8676.8940276496924</v>
      </c>
      <c r="E46" s="484">
        <f>IF(+I14&lt;F45,I14,D46)</f>
        <v>526.11904761904759</v>
      </c>
      <c r="F46" s="485">
        <f t="shared" si="19"/>
        <v>8150.7749800306447</v>
      </c>
      <c r="G46" s="486">
        <f t="shared" si="20"/>
        <v>1433.2250274940966</v>
      </c>
      <c r="H46" s="455">
        <f t="shared" si="21"/>
        <v>1433.2250274940966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8150.7749800306447</v>
      </c>
      <c r="E47" s="484">
        <f>IF(+I14&lt;F46,I14,D47)</f>
        <v>526.11904761904759</v>
      </c>
      <c r="F47" s="485">
        <f t="shared" si="19"/>
        <v>7624.655932411597</v>
      </c>
      <c r="G47" s="486">
        <f t="shared" si="20"/>
        <v>1376.5034775273623</v>
      </c>
      <c r="H47" s="455">
        <f t="shared" si="21"/>
        <v>1376.5034775273623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7624.655932411597</v>
      </c>
      <c r="E48" s="484">
        <f>IF(+I14&lt;F47,I14,D48)</f>
        <v>526.11904761904759</v>
      </c>
      <c r="F48" s="485">
        <f t="shared" si="19"/>
        <v>7098.5368847925492</v>
      </c>
      <c r="G48" s="486">
        <f t="shared" si="20"/>
        <v>1319.781927560628</v>
      </c>
      <c r="H48" s="455">
        <f t="shared" si="21"/>
        <v>1319.781927560628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7098.5368847925492</v>
      </c>
      <c r="E49" s="484">
        <f>IF(+I14&lt;F48,I14,D49)</f>
        <v>526.11904761904759</v>
      </c>
      <c r="F49" s="485">
        <f t="shared" ref="F49:F72" si="22">+D49-E49</f>
        <v>6572.4178371735015</v>
      </c>
      <c r="G49" s="486">
        <f t="shared" si="20"/>
        <v>1263.0603775938935</v>
      </c>
      <c r="H49" s="455">
        <f t="shared" si="21"/>
        <v>1263.0603775938935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3"/>
    </row>
    <row r="50" spans="2:16">
      <c r="B50" s="160" t="str">
        <f t="shared" ref="B50:B72" si="27">IF(D50=F49,"","IU")</f>
        <v/>
      </c>
      <c r="C50" s="472">
        <f>IF(D11="","-",+C49+1)</f>
        <v>2043</v>
      </c>
      <c r="D50" s="485">
        <f>IF(F49+SUM(E$17:E49)=D$10,F49,D$10-SUM(E$17:E49))</f>
        <v>6572.4178371735015</v>
      </c>
      <c r="E50" s="484">
        <f>IF(+I14&lt;F49,I14,D50)</f>
        <v>526.11904761904759</v>
      </c>
      <c r="F50" s="485">
        <f t="shared" si="22"/>
        <v>6046.2987895544538</v>
      </c>
      <c r="G50" s="486">
        <f t="shared" si="20"/>
        <v>1206.3388276271592</v>
      </c>
      <c r="H50" s="455">
        <f t="shared" si="21"/>
        <v>1206.3388276271592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3"/>
    </row>
    <row r="51" spans="2:16">
      <c r="B51" s="160" t="str">
        <f t="shared" si="27"/>
        <v/>
      </c>
      <c r="C51" s="472">
        <f>IF(D11="","-",+C50+1)</f>
        <v>2044</v>
      </c>
      <c r="D51" s="485">
        <f>IF(F50+SUM(E$17:E50)=D$10,F50,D$10-SUM(E$17:E50))</f>
        <v>6046.2987895544538</v>
      </c>
      <c r="E51" s="484">
        <f>IF(+I14&lt;F50,I14,D51)</f>
        <v>526.11904761904759</v>
      </c>
      <c r="F51" s="485">
        <f t="shared" si="22"/>
        <v>5520.1797419354061</v>
      </c>
      <c r="G51" s="486">
        <f t="shared" si="20"/>
        <v>1149.6172776604249</v>
      </c>
      <c r="H51" s="455">
        <f t="shared" si="21"/>
        <v>1149.6172776604249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3"/>
    </row>
    <row r="52" spans="2:16">
      <c r="B52" s="160" t="str">
        <f t="shared" si="27"/>
        <v/>
      </c>
      <c r="C52" s="472">
        <f>IF(D11="","-",+C51+1)</f>
        <v>2045</v>
      </c>
      <c r="D52" s="485">
        <f>IF(F51+SUM(E$17:E51)=D$10,F51,D$10-SUM(E$17:E51))</f>
        <v>5520.1797419354061</v>
      </c>
      <c r="E52" s="484">
        <f>IF(+I14&lt;F51,I14,D52)</f>
        <v>526.11904761904759</v>
      </c>
      <c r="F52" s="485">
        <f t="shared" si="22"/>
        <v>4994.0606943163584</v>
      </c>
      <c r="G52" s="486">
        <f t="shared" si="20"/>
        <v>1092.8957276936903</v>
      </c>
      <c r="H52" s="455">
        <f t="shared" si="21"/>
        <v>1092.8957276936903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3"/>
    </row>
    <row r="53" spans="2:16">
      <c r="B53" s="160" t="str">
        <f t="shared" si="27"/>
        <v/>
      </c>
      <c r="C53" s="472">
        <f>IF(D11="","-",+C52+1)</f>
        <v>2046</v>
      </c>
      <c r="D53" s="485">
        <f>IF(F52+SUM(E$17:E52)=D$10,F52,D$10-SUM(E$17:E52))</f>
        <v>4994.0606943163584</v>
      </c>
      <c r="E53" s="484">
        <f>IF(+I14&lt;F52,I14,D53)</f>
        <v>526.11904761904759</v>
      </c>
      <c r="F53" s="485">
        <f t="shared" si="22"/>
        <v>4467.9416466973107</v>
      </c>
      <c r="G53" s="486">
        <f t="shared" si="20"/>
        <v>1036.174177726956</v>
      </c>
      <c r="H53" s="455">
        <f t="shared" si="21"/>
        <v>1036.174177726956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3"/>
    </row>
    <row r="54" spans="2:16">
      <c r="B54" s="160" t="str">
        <f t="shared" si="27"/>
        <v/>
      </c>
      <c r="C54" s="472">
        <f>IF(D11="","-",+C53+1)</f>
        <v>2047</v>
      </c>
      <c r="D54" s="485">
        <f>IF(F53+SUM(E$17:E53)=D$10,F53,D$10-SUM(E$17:E53))</f>
        <v>4467.9416466973107</v>
      </c>
      <c r="E54" s="484">
        <f>IF(+I14&lt;F53,I14,D54)</f>
        <v>526.11904761904759</v>
      </c>
      <c r="F54" s="485">
        <f t="shared" si="22"/>
        <v>3941.822599078263</v>
      </c>
      <c r="G54" s="486">
        <f t="shared" si="20"/>
        <v>979.45262776022162</v>
      </c>
      <c r="H54" s="455">
        <f t="shared" si="21"/>
        <v>979.45262776022162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3"/>
    </row>
    <row r="55" spans="2:16">
      <c r="B55" s="160" t="str">
        <f t="shared" si="27"/>
        <v/>
      </c>
      <c r="C55" s="472">
        <f>IF(D11="","-",+C54+1)</f>
        <v>2048</v>
      </c>
      <c r="D55" s="485">
        <f>IF(F54+SUM(E$17:E54)=D$10,F54,D$10-SUM(E$17:E54))</f>
        <v>3941.822599078263</v>
      </c>
      <c r="E55" s="484">
        <f>IF(+I14&lt;F54,I14,D55)</f>
        <v>526.11904761904759</v>
      </c>
      <c r="F55" s="485">
        <f t="shared" si="22"/>
        <v>3415.7035514592153</v>
      </c>
      <c r="G55" s="486">
        <f t="shared" si="20"/>
        <v>922.7310777934872</v>
      </c>
      <c r="H55" s="455">
        <f t="shared" si="21"/>
        <v>922.7310777934872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3"/>
    </row>
    <row r="56" spans="2:16">
      <c r="B56" s="160" t="str">
        <f t="shared" si="27"/>
        <v/>
      </c>
      <c r="C56" s="472">
        <f>IF(D11="","-",+C55+1)</f>
        <v>2049</v>
      </c>
      <c r="D56" s="485">
        <f>IF(F55+SUM(E$17:E55)=D$10,F55,D$10-SUM(E$17:E55))</f>
        <v>3415.7035514592153</v>
      </c>
      <c r="E56" s="484">
        <f>IF(+I14&lt;F55,I14,D56)</f>
        <v>526.11904761904759</v>
      </c>
      <c r="F56" s="485">
        <f t="shared" si="22"/>
        <v>2889.5845038401676</v>
      </c>
      <c r="G56" s="486">
        <f t="shared" si="20"/>
        <v>866.0095278267529</v>
      </c>
      <c r="H56" s="455">
        <f t="shared" si="21"/>
        <v>866.0095278267529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3"/>
    </row>
    <row r="57" spans="2:16">
      <c r="B57" s="160" t="str">
        <f t="shared" si="27"/>
        <v/>
      </c>
      <c r="C57" s="472">
        <f>IF(D11="","-",+C56+1)</f>
        <v>2050</v>
      </c>
      <c r="D57" s="485">
        <f>IF(F56+SUM(E$17:E56)=D$10,F56,D$10-SUM(E$17:E56))</f>
        <v>2889.5845038401676</v>
      </c>
      <c r="E57" s="484">
        <f>IF(+I14&lt;F56,I14,D57)</f>
        <v>526.11904761904759</v>
      </c>
      <c r="F57" s="485">
        <f t="shared" si="22"/>
        <v>2363.4654562211199</v>
      </c>
      <c r="G57" s="486">
        <f t="shared" si="20"/>
        <v>809.28797786001849</v>
      </c>
      <c r="H57" s="455">
        <f t="shared" si="21"/>
        <v>809.28797786001849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3"/>
    </row>
    <row r="58" spans="2:16">
      <c r="B58" s="160" t="str">
        <f t="shared" si="27"/>
        <v/>
      </c>
      <c r="C58" s="472">
        <f>IF(D11="","-",+C57+1)</f>
        <v>2051</v>
      </c>
      <c r="D58" s="485">
        <f>IF(F57+SUM(E$17:E57)=D$10,F57,D$10-SUM(E$17:E57))</f>
        <v>2363.4654562211199</v>
      </c>
      <c r="E58" s="484">
        <f>IF(+I14&lt;F57,I14,D58)</f>
        <v>526.11904761904759</v>
      </c>
      <c r="F58" s="485">
        <f t="shared" si="22"/>
        <v>1837.3464086020722</v>
      </c>
      <c r="G58" s="486">
        <f t="shared" si="20"/>
        <v>752.56642789328407</v>
      </c>
      <c r="H58" s="455">
        <f t="shared" si="21"/>
        <v>752.56642789328407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3"/>
    </row>
    <row r="59" spans="2:16">
      <c r="B59" s="160" t="str">
        <f t="shared" si="27"/>
        <v/>
      </c>
      <c r="C59" s="472">
        <f>IF(D11="","-",+C58+1)</f>
        <v>2052</v>
      </c>
      <c r="D59" s="485">
        <f>IF(F58+SUM(E$17:E58)=D$10,F58,D$10-SUM(E$17:E58))</f>
        <v>1837.3464086020722</v>
      </c>
      <c r="E59" s="484">
        <f>IF(+I14&lt;F58,I14,D59)</f>
        <v>526.11904761904759</v>
      </c>
      <c r="F59" s="485">
        <f t="shared" si="22"/>
        <v>1311.2273609830245</v>
      </c>
      <c r="G59" s="486">
        <f t="shared" si="20"/>
        <v>695.84487792654977</v>
      </c>
      <c r="H59" s="455">
        <f t="shared" si="21"/>
        <v>695.84487792654977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3"/>
    </row>
    <row r="60" spans="2:16">
      <c r="B60" s="160" t="str">
        <f t="shared" si="27"/>
        <v/>
      </c>
      <c r="C60" s="472">
        <f>IF(D11="","-",+C59+1)</f>
        <v>2053</v>
      </c>
      <c r="D60" s="485">
        <f>IF(F59+SUM(E$17:E59)=D$10,F59,D$10-SUM(E$17:E59))</f>
        <v>1311.2273609830245</v>
      </c>
      <c r="E60" s="484">
        <f>IF(+I14&lt;F59,I14,D60)</f>
        <v>526.11904761904759</v>
      </c>
      <c r="F60" s="485">
        <f t="shared" si="22"/>
        <v>785.10831336397689</v>
      </c>
      <c r="G60" s="486">
        <f t="shared" si="20"/>
        <v>639.12332795981536</v>
      </c>
      <c r="H60" s="455">
        <f t="shared" si="21"/>
        <v>639.12332795981536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3"/>
    </row>
    <row r="61" spans="2:16">
      <c r="B61" s="160" t="str">
        <f t="shared" si="27"/>
        <v/>
      </c>
      <c r="C61" s="472">
        <f>IF(D11="","-",+C60+1)</f>
        <v>2054</v>
      </c>
      <c r="D61" s="485">
        <f>IF(F60+SUM(E$17:E60)=D$10,F60,D$10-SUM(E$17:E60))</f>
        <v>785.10831336397689</v>
      </c>
      <c r="E61" s="484">
        <f>IF(+I14&lt;F60,I14,D61)</f>
        <v>526.11904761904759</v>
      </c>
      <c r="F61" s="485">
        <f t="shared" si="22"/>
        <v>258.9892657449293</v>
      </c>
      <c r="G61" s="486">
        <f t="shared" si="20"/>
        <v>582.40177799308105</v>
      </c>
      <c r="H61" s="455">
        <f t="shared" si="21"/>
        <v>582.40177799308105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3"/>
    </row>
    <row r="62" spans="2:16">
      <c r="B62" s="160" t="str">
        <f t="shared" si="27"/>
        <v/>
      </c>
      <c r="C62" s="472">
        <f>IF(D11="","-",+C61+1)</f>
        <v>2055</v>
      </c>
      <c r="D62" s="485">
        <f>IF(F61+SUM(E$17:E61)=D$10,F61,D$10-SUM(E$17:E61))</f>
        <v>258.9892657449293</v>
      </c>
      <c r="E62" s="484">
        <f>IF(+I14&lt;F61,I14,D62)</f>
        <v>258.9892657449293</v>
      </c>
      <c r="F62" s="485">
        <f t="shared" si="22"/>
        <v>0</v>
      </c>
      <c r="G62" s="486">
        <f t="shared" si="20"/>
        <v>272.9502434402624</v>
      </c>
      <c r="H62" s="455">
        <f t="shared" si="21"/>
        <v>272.9502434402624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3"/>
    </row>
    <row r="63" spans="2:16">
      <c r="B63" s="160" t="str">
        <f t="shared" si="27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2"/>
        <v>0</v>
      </c>
      <c r="G63" s="486">
        <f t="shared" si="20"/>
        <v>0</v>
      </c>
      <c r="H63" s="455">
        <f t="shared" si="21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3"/>
    </row>
    <row r="64" spans="2:16">
      <c r="B64" s="160" t="str">
        <f t="shared" si="27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2"/>
        <v>0</v>
      </c>
      <c r="G64" s="486">
        <f t="shared" si="20"/>
        <v>0</v>
      </c>
      <c r="H64" s="455">
        <f t="shared" si="21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3"/>
    </row>
    <row r="65" spans="2:16">
      <c r="B65" s="160" t="str">
        <f t="shared" si="27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2"/>
        <v>0</v>
      </c>
      <c r="G65" s="486">
        <f t="shared" si="20"/>
        <v>0</v>
      </c>
      <c r="H65" s="455">
        <f t="shared" si="21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3"/>
    </row>
    <row r="66" spans="2:16">
      <c r="B66" s="160" t="str">
        <f t="shared" si="27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2"/>
        <v>0</v>
      </c>
      <c r="G66" s="486">
        <f t="shared" si="20"/>
        <v>0</v>
      </c>
      <c r="H66" s="455">
        <f t="shared" si="21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3"/>
    </row>
    <row r="67" spans="2:16">
      <c r="B67" s="160" t="str">
        <f t="shared" si="27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2"/>
        <v>0</v>
      </c>
      <c r="G67" s="486">
        <f t="shared" si="20"/>
        <v>0</v>
      </c>
      <c r="H67" s="455">
        <f t="shared" si="21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3"/>
    </row>
    <row r="68" spans="2:16">
      <c r="B68" s="160" t="str">
        <f t="shared" si="27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2"/>
        <v>0</v>
      </c>
      <c r="G68" s="486">
        <f t="shared" si="20"/>
        <v>0</v>
      </c>
      <c r="H68" s="455">
        <f t="shared" si="21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3"/>
    </row>
    <row r="69" spans="2:16">
      <c r="B69" s="160" t="str">
        <f t="shared" si="27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2"/>
        <v>0</v>
      </c>
      <c r="G69" s="486">
        <f t="shared" si="20"/>
        <v>0</v>
      </c>
      <c r="H69" s="455">
        <f t="shared" si="21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3"/>
    </row>
    <row r="70" spans="2:16">
      <c r="B70" s="160" t="str">
        <f t="shared" si="27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2"/>
        <v>0</v>
      </c>
      <c r="G70" s="486">
        <f t="shared" si="20"/>
        <v>0</v>
      </c>
      <c r="H70" s="455">
        <f t="shared" si="21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3"/>
    </row>
    <row r="71" spans="2:16">
      <c r="B71" s="160" t="str">
        <f t="shared" si="27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2"/>
        <v>0</v>
      </c>
      <c r="G71" s="486">
        <f t="shared" si="20"/>
        <v>0</v>
      </c>
      <c r="H71" s="455">
        <f t="shared" si="21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3"/>
    </row>
    <row r="72" spans="2:16" ht="13.5" thickBot="1">
      <c r="B72" s="160" t="str">
        <f t="shared" si="27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2"/>
        <v>0</v>
      </c>
      <c r="G72" s="490">
        <f t="shared" si="20"/>
        <v>0</v>
      </c>
      <c r="H72" s="490">
        <f t="shared" si="21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3"/>
    </row>
    <row r="73" spans="2:16">
      <c r="C73" s="347" t="s">
        <v>77</v>
      </c>
      <c r="D73" s="348"/>
      <c r="E73" s="348">
        <f>SUM(E17:E72)</f>
        <v>22096.999999999985</v>
      </c>
      <c r="F73" s="348"/>
      <c r="G73" s="348">
        <f>SUM(G17:G72)</f>
        <v>79230.887079526772</v>
      </c>
      <c r="H73" s="348">
        <f>SUM(H17:H72)</f>
        <v>79230.887079526772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13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2369.1190476190477</v>
      </c>
      <c r="N87" s="508">
        <f>IF(J92&lt;D11,0,VLOOKUP(J92,C17:O72,11))</f>
        <v>2369.1190476190477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2465.6674743531971</v>
      </c>
      <c r="N88" s="512">
        <f>IF(J92&lt;D11,0,VLOOKUP(J92,C99:P154,7))</f>
        <v>2465.6674743531971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CoffeyvilleT to Dearing 138 kv Rebuild - 1.1 mi*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96.548426734149416</v>
      </c>
      <c r="N89" s="517">
        <f>+N88-N87</f>
        <v>96.548426734149416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TP2008013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22097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567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590">
        <f>D93</f>
        <v>2010</v>
      </c>
      <c r="D99" s="591">
        <v>0</v>
      </c>
      <c r="E99" s="592">
        <v>0</v>
      </c>
      <c r="F99" s="592">
        <v>0</v>
      </c>
      <c r="G99" s="592">
        <v>0</v>
      </c>
      <c r="H99" s="593">
        <v>0</v>
      </c>
      <c r="I99" s="592">
        <v>0</v>
      </c>
      <c r="J99" s="594">
        <v>0</v>
      </c>
      <c r="K99" s="478"/>
      <c r="L99" s="567">
        <f t="shared" ref="L99:L104" si="28">H99</f>
        <v>0</v>
      </c>
      <c r="M99" s="568">
        <f t="shared" ref="M99:M104" si="29">IF(L99&lt;&gt;0,+H99-L99,0)</f>
        <v>0</v>
      </c>
      <c r="N99" s="567">
        <f t="shared" ref="N99:N104" si="30">I99</f>
        <v>0</v>
      </c>
      <c r="O99" s="477">
        <f t="shared" ref="O99:O104" si="31">IF(N99&lt;&gt;0,+I99-N99,0)</f>
        <v>0</v>
      </c>
      <c r="P99" s="477">
        <f t="shared" ref="P99:P104" si="32">+O99-M99</f>
        <v>0</v>
      </c>
    </row>
    <row r="100" spans="1:16">
      <c r="C100" s="472">
        <f>IF(D91="","-",+C99+1)</f>
        <v>2011</v>
      </c>
      <c r="D100" s="595">
        <v>0</v>
      </c>
      <c r="E100" s="596">
        <v>0</v>
      </c>
      <c r="F100" s="596">
        <v>0</v>
      </c>
      <c r="G100" s="596">
        <v>0</v>
      </c>
      <c r="H100" s="597">
        <v>0</v>
      </c>
      <c r="I100" s="596">
        <v>0</v>
      </c>
      <c r="J100" s="598">
        <v>0</v>
      </c>
      <c r="K100" s="478"/>
      <c r="L100" s="540">
        <f t="shared" si="28"/>
        <v>0</v>
      </c>
      <c r="M100" s="541">
        <f t="shared" si="29"/>
        <v>0</v>
      </c>
      <c r="N100" s="540">
        <f t="shared" si="30"/>
        <v>0</v>
      </c>
      <c r="O100" s="478">
        <f t="shared" si="31"/>
        <v>0</v>
      </c>
      <c r="P100" s="478">
        <f t="shared" si="32"/>
        <v>0</v>
      </c>
    </row>
    <row r="101" spans="1:16">
      <c r="C101" s="472">
        <f>IF(D92="","-",+C100+1)</f>
        <v>2012</v>
      </c>
      <c r="D101" s="578">
        <v>22097</v>
      </c>
      <c r="E101" s="579">
        <v>212.5</v>
      </c>
      <c r="F101" s="580">
        <v>21884.5</v>
      </c>
      <c r="G101" s="580">
        <v>21990.75</v>
      </c>
      <c r="H101" s="582">
        <v>3375.9899363381005</v>
      </c>
      <c r="I101" s="583">
        <v>3375.9899363381005</v>
      </c>
      <c r="J101" s="478">
        <v>0</v>
      </c>
      <c r="K101" s="478"/>
      <c r="L101" s="540">
        <f t="shared" si="28"/>
        <v>3375.9899363381005</v>
      </c>
      <c r="M101" s="541">
        <f t="shared" si="29"/>
        <v>0</v>
      </c>
      <c r="N101" s="540">
        <f t="shared" si="30"/>
        <v>3375.9899363381005</v>
      </c>
      <c r="O101" s="478">
        <f t="shared" si="31"/>
        <v>0</v>
      </c>
      <c r="P101" s="478">
        <f t="shared" si="32"/>
        <v>0</v>
      </c>
    </row>
    <row r="102" spans="1:16">
      <c r="B102" s="160" t="str">
        <f t="shared" ref="B102:B133" si="33">IF(D102=F101,"","IU")</f>
        <v/>
      </c>
      <c r="C102" s="472">
        <f>IF(D93="","-",+C101+1)</f>
        <v>2013</v>
      </c>
      <c r="D102" s="578">
        <v>21884.5</v>
      </c>
      <c r="E102" s="579">
        <v>425</v>
      </c>
      <c r="F102" s="580">
        <v>21459.5</v>
      </c>
      <c r="G102" s="580">
        <v>21672</v>
      </c>
      <c r="H102" s="582">
        <v>3544.458879858515</v>
      </c>
      <c r="I102" s="583">
        <v>3544.458879858515</v>
      </c>
      <c r="J102" s="478">
        <v>0</v>
      </c>
      <c r="K102" s="478"/>
      <c r="L102" s="540">
        <f t="shared" si="28"/>
        <v>3544.458879858515</v>
      </c>
      <c r="M102" s="541">
        <f t="shared" si="29"/>
        <v>0</v>
      </c>
      <c r="N102" s="540">
        <f t="shared" si="30"/>
        <v>3544.458879858515</v>
      </c>
      <c r="O102" s="478">
        <f t="shared" si="31"/>
        <v>0</v>
      </c>
      <c r="P102" s="478">
        <f t="shared" si="32"/>
        <v>0</v>
      </c>
    </row>
    <row r="103" spans="1:16">
      <c r="B103" s="160" t="str">
        <f t="shared" si="33"/>
        <v/>
      </c>
      <c r="C103" s="472">
        <f>IF(D93="","-",+C102+1)</f>
        <v>2014</v>
      </c>
      <c r="D103" s="578">
        <v>21459.5</v>
      </c>
      <c r="E103" s="579">
        <v>425</v>
      </c>
      <c r="F103" s="580">
        <v>21034.5</v>
      </c>
      <c r="G103" s="580">
        <v>21247</v>
      </c>
      <c r="H103" s="582">
        <v>3412.2413474199548</v>
      </c>
      <c r="I103" s="583">
        <v>3412.2413474199548</v>
      </c>
      <c r="J103" s="478">
        <v>0</v>
      </c>
      <c r="K103" s="478"/>
      <c r="L103" s="540">
        <f t="shared" si="28"/>
        <v>3412.2413474199548</v>
      </c>
      <c r="M103" s="541">
        <f t="shared" si="29"/>
        <v>0</v>
      </c>
      <c r="N103" s="540">
        <f t="shared" si="30"/>
        <v>3412.2413474199548</v>
      </c>
      <c r="O103" s="478">
        <f t="shared" si="31"/>
        <v>0</v>
      </c>
      <c r="P103" s="478">
        <f t="shared" si="32"/>
        <v>0</v>
      </c>
    </row>
    <row r="104" spans="1:16">
      <c r="B104" s="160" t="str">
        <f t="shared" si="33"/>
        <v/>
      </c>
      <c r="C104" s="472">
        <f>IF(D93="","-",+C103+1)</f>
        <v>2015</v>
      </c>
      <c r="D104" s="578">
        <v>21034.5</v>
      </c>
      <c r="E104" s="579">
        <v>425</v>
      </c>
      <c r="F104" s="580">
        <v>20609.5</v>
      </c>
      <c r="G104" s="580">
        <v>20822</v>
      </c>
      <c r="H104" s="582">
        <v>3265.9944828697971</v>
      </c>
      <c r="I104" s="583">
        <v>3265.9944828697971</v>
      </c>
      <c r="J104" s="478">
        <f t="shared" ref="J104:J132" si="34">+I104-H104</f>
        <v>0</v>
      </c>
      <c r="K104" s="478"/>
      <c r="L104" s="540">
        <f t="shared" si="28"/>
        <v>3265.9944828697971</v>
      </c>
      <c r="M104" s="541">
        <f t="shared" si="29"/>
        <v>0</v>
      </c>
      <c r="N104" s="540">
        <f t="shared" si="30"/>
        <v>3265.9944828697971</v>
      </c>
      <c r="O104" s="478">
        <f t="shared" si="31"/>
        <v>0</v>
      </c>
      <c r="P104" s="478">
        <f t="shared" si="32"/>
        <v>0</v>
      </c>
    </row>
    <row r="105" spans="1:16">
      <c r="B105" s="160" t="str">
        <f t="shared" si="33"/>
        <v/>
      </c>
      <c r="C105" s="472">
        <f>IF(D93="","-",+C104+1)</f>
        <v>2016</v>
      </c>
      <c r="D105" s="578">
        <v>20609.5</v>
      </c>
      <c r="E105" s="579">
        <v>480</v>
      </c>
      <c r="F105" s="580">
        <v>20129.5</v>
      </c>
      <c r="G105" s="580">
        <v>20369.5</v>
      </c>
      <c r="H105" s="582">
        <v>3105.9493466960757</v>
      </c>
      <c r="I105" s="583">
        <v>3105.9493466960757</v>
      </c>
      <c r="J105" s="478">
        <f t="shared" si="34"/>
        <v>0</v>
      </c>
      <c r="K105" s="478"/>
      <c r="L105" s="540">
        <f>H105</f>
        <v>3105.9493466960757</v>
      </c>
      <c r="M105" s="541">
        <f>IF(L105&lt;&gt;0,+H105-L105,0)</f>
        <v>0</v>
      </c>
      <c r="N105" s="540">
        <f>I105</f>
        <v>3105.9493466960757</v>
      </c>
      <c r="O105" s="478">
        <f t="shared" ref="O105:O110" si="35">IF(N105&lt;&gt;0,+I105-N105,0)</f>
        <v>0</v>
      </c>
      <c r="P105" s="478">
        <f>+O105-M105</f>
        <v>0</v>
      </c>
    </row>
    <row r="106" spans="1:16">
      <c r="B106" s="160" t="str">
        <f t="shared" si="33"/>
        <v/>
      </c>
      <c r="C106" s="472">
        <f>IF(D93="","-",+C105+1)</f>
        <v>2017</v>
      </c>
      <c r="D106" s="578">
        <v>20129.5</v>
      </c>
      <c r="E106" s="579">
        <v>480</v>
      </c>
      <c r="F106" s="580">
        <v>19649.5</v>
      </c>
      <c r="G106" s="580">
        <v>19889.5</v>
      </c>
      <c r="H106" s="582">
        <v>3003.0332263920673</v>
      </c>
      <c r="I106" s="583">
        <v>3003.0332263920673</v>
      </c>
      <c r="J106" s="478">
        <f t="shared" si="34"/>
        <v>0</v>
      </c>
      <c r="K106" s="478"/>
      <c r="L106" s="540">
        <f>H106</f>
        <v>3003.0332263920673</v>
      </c>
      <c r="M106" s="541">
        <f>IF(L106&lt;&gt;0,+H106-L106,0)</f>
        <v>0</v>
      </c>
      <c r="N106" s="540">
        <f>I106</f>
        <v>3003.0332263920673</v>
      </c>
      <c r="O106" s="478">
        <f t="shared" si="35"/>
        <v>0</v>
      </c>
      <c r="P106" s="478">
        <f>+O106-M106</f>
        <v>0</v>
      </c>
    </row>
    <row r="107" spans="1:16">
      <c r="B107" s="160" t="str">
        <f t="shared" si="33"/>
        <v/>
      </c>
      <c r="C107" s="472">
        <f>IF(D93="","-",+C106+1)</f>
        <v>2018</v>
      </c>
      <c r="D107" s="578">
        <v>19649.5</v>
      </c>
      <c r="E107" s="579">
        <v>514</v>
      </c>
      <c r="F107" s="580">
        <v>19135.5</v>
      </c>
      <c r="G107" s="580">
        <v>19392.5</v>
      </c>
      <c r="H107" s="582">
        <v>2506.299479691007</v>
      </c>
      <c r="I107" s="583">
        <v>2506.299479691007</v>
      </c>
      <c r="J107" s="478">
        <f t="shared" si="34"/>
        <v>0</v>
      </c>
      <c r="K107" s="478"/>
      <c r="L107" s="540">
        <f>H107</f>
        <v>2506.299479691007</v>
      </c>
      <c r="M107" s="541">
        <f>IF(L107&lt;&gt;0,+H107-L107,0)</f>
        <v>0</v>
      </c>
      <c r="N107" s="540">
        <f>I107</f>
        <v>2506.299479691007</v>
      </c>
      <c r="O107" s="478">
        <f t="shared" si="35"/>
        <v>0</v>
      </c>
      <c r="P107" s="478">
        <f>+O107-M107</f>
        <v>0</v>
      </c>
    </row>
    <row r="108" spans="1:16">
      <c r="B108" s="160" t="str">
        <f t="shared" si="33"/>
        <v/>
      </c>
      <c r="C108" s="472">
        <f>IF(D93="","-",+C107+1)</f>
        <v>2019</v>
      </c>
      <c r="D108" s="578">
        <v>19135.5</v>
      </c>
      <c r="E108" s="579">
        <v>539</v>
      </c>
      <c r="F108" s="580">
        <v>18596.5</v>
      </c>
      <c r="G108" s="580">
        <v>18866</v>
      </c>
      <c r="H108" s="582">
        <v>2484.3492160371716</v>
      </c>
      <c r="I108" s="583">
        <v>2484.3492160371716</v>
      </c>
      <c r="J108" s="478">
        <f t="shared" si="34"/>
        <v>0</v>
      </c>
      <c r="K108" s="478"/>
      <c r="L108" s="540">
        <f>H108</f>
        <v>2484.3492160371716</v>
      </c>
      <c r="M108" s="541">
        <f>IF(L108&lt;&gt;0,+H108-L108,0)</f>
        <v>0</v>
      </c>
      <c r="N108" s="540">
        <f>I108</f>
        <v>2484.3492160371716</v>
      </c>
      <c r="O108" s="478">
        <f t="shared" si="35"/>
        <v>0</v>
      </c>
      <c r="P108" s="478">
        <f t="shared" ref="P108:P130" si="36">+O108-M108</f>
        <v>0</v>
      </c>
    </row>
    <row r="109" spans="1:16">
      <c r="B109" s="160" t="str">
        <f t="shared" si="33"/>
        <v/>
      </c>
      <c r="C109" s="472">
        <f>IF(D93="","-",+C108+1)</f>
        <v>2020</v>
      </c>
      <c r="D109" s="578">
        <v>18596.5</v>
      </c>
      <c r="E109" s="579">
        <v>514</v>
      </c>
      <c r="F109" s="580">
        <v>18082.5</v>
      </c>
      <c r="G109" s="580">
        <v>18339.5</v>
      </c>
      <c r="H109" s="582">
        <v>2628.4939297021565</v>
      </c>
      <c r="I109" s="583">
        <v>2628.4939297021565</v>
      </c>
      <c r="J109" s="478">
        <f t="shared" si="34"/>
        <v>0</v>
      </c>
      <c r="K109" s="478"/>
      <c r="L109" s="540">
        <f>H109</f>
        <v>2628.4939297021565</v>
      </c>
      <c r="M109" s="541">
        <f>IF(L109&lt;&gt;0,+H109-L109,0)</f>
        <v>0</v>
      </c>
      <c r="N109" s="540">
        <f>I109</f>
        <v>2628.4939297021565</v>
      </c>
      <c r="O109" s="478">
        <f t="shared" si="35"/>
        <v>0</v>
      </c>
      <c r="P109" s="478">
        <f t="shared" si="36"/>
        <v>0</v>
      </c>
    </row>
    <row r="110" spans="1:16">
      <c r="B110" s="160" t="str">
        <f t="shared" si="33"/>
        <v/>
      </c>
      <c r="C110" s="472">
        <f>IF(D93="","-",+C109+1)</f>
        <v>2021</v>
      </c>
      <c r="D110" s="347">
        <f>IF(F109+SUM(E$101:E109)=D$92,F109,D$92-SUM(E$101:E109))</f>
        <v>18082.5</v>
      </c>
      <c r="E110" s="486">
        <f>IF(+J96&lt;F109,J96,D110)</f>
        <v>567</v>
      </c>
      <c r="F110" s="485">
        <f t="shared" ref="F110:F133" si="37">+D110-E110</f>
        <v>17515.5</v>
      </c>
      <c r="G110" s="485">
        <f t="shared" ref="G110:G132" si="38">+(F110+D110)/2</f>
        <v>17799</v>
      </c>
      <c r="H110" s="486">
        <f t="shared" ref="H110:H153" si="39">(D110+F110)/2*J$94+E110</f>
        <v>2528.1410385336903</v>
      </c>
      <c r="I110" s="542">
        <f t="shared" ref="I110:I153" si="40">+J$95*G110+E110</f>
        <v>2528.1410385336903</v>
      </c>
      <c r="J110" s="478">
        <f t="shared" si="34"/>
        <v>0</v>
      </c>
      <c r="K110" s="478"/>
      <c r="L110" s="487"/>
      <c r="M110" s="478">
        <f t="shared" ref="M110:M130" si="41">IF(L110&lt;&gt;0,+H112-L110,0)</f>
        <v>0</v>
      </c>
      <c r="N110" s="487"/>
      <c r="O110" s="478">
        <f t="shared" si="35"/>
        <v>0</v>
      </c>
      <c r="P110" s="478">
        <f t="shared" si="36"/>
        <v>0</v>
      </c>
    </row>
    <row r="111" spans="1:16">
      <c r="B111" s="160" t="str">
        <f t="shared" si="33"/>
        <v/>
      </c>
      <c r="C111" s="472">
        <f>IF(D93="","-",+C110+1)</f>
        <v>2022</v>
      </c>
      <c r="D111" s="347">
        <f>IF(F110+SUM(E$101:E110)=D$92,F110,D$92-SUM(E$101:E110))</f>
        <v>17515.5</v>
      </c>
      <c r="E111" s="486">
        <f>IF(+J96&lt;F110,J96,D111)</f>
        <v>567</v>
      </c>
      <c r="F111" s="485">
        <f t="shared" si="37"/>
        <v>16948.5</v>
      </c>
      <c r="G111" s="485">
        <f t="shared" si="38"/>
        <v>17232</v>
      </c>
      <c r="H111" s="486">
        <f t="shared" si="39"/>
        <v>2465.6674743531971</v>
      </c>
      <c r="I111" s="542">
        <f t="shared" si="40"/>
        <v>2465.6674743531971</v>
      </c>
      <c r="J111" s="478">
        <f t="shared" si="34"/>
        <v>0</v>
      </c>
      <c r="K111" s="478"/>
      <c r="L111" s="487"/>
      <c r="M111" s="478">
        <f t="shared" si="41"/>
        <v>0</v>
      </c>
      <c r="N111" s="487"/>
      <c r="O111" s="478">
        <f t="shared" ref="O111:O154" si="42">IF(N111&lt;&gt;0,+I111-N111,0)</f>
        <v>0</v>
      </c>
      <c r="P111" s="478">
        <f t="shared" si="36"/>
        <v>0</v>
      </c>
    </row>
    <row r="112" spans="1:16">
      <c r="B112" s="160" t="str">
        <f t="shared" si="33"/>
        <v/>
      </c>
      <c r="C112" s="472">
        <f>IF(D93="","-",+C111+1)</f>
        <v>2023</v>
      </c>
      <c r="D112" s="347">
        <f>IF(F111+SUM(E$101:E111)=D$92,F111,D$92-SUM(E$101:E111))</f>
        <v>16948.5</v>
      </c>
      <c r="E112" s="486">
        <f>IF(+J96&lt;F111,J96,D112)</f>
        <v>567</v>
      </c>
      <c r="F112" s="485">
        <f t="shared" si="37"/>
        <v>16381.5</v>
      </c>
      <c r="G112" s="485">
        <f t="shared" si="38"/>
        <v>16665</v>
      </c>
      <c r="H112" s="486">
        <f t="shared" si="39"/>
        <v>2403.1939101727039</v>
      </c>
      <c r="I112" s="542">
        <f t="shared" si="40"/>
        <v>2403.1939101727039</v>
      </c>
      <c r="J112" s="478">
        <f t="shared" si="34"/>
        <v>0</v>
      </c>
      <c r="K112" s="478"/>
      <c r="L112" s="487"/>
      <c r="M112" s="478">
        <f t="shared" si="41"/>
        <v>0</v>
      </c>
      <c r="N112" s="487"/>
      <c r="O112" s="478">
        <f t="shared" si="42"/>
        <v>0</v>
      </c>
      <c r="P112" s="478">
        <f t="shared" si="36"/>
        <v>0</v>
      </c>
    </row>
    <row r="113" spans="2:16">
      <c r="B113" s="160" t="str">
        <f t="shared" si="33"/>
        <v/>
      </c>
      <c r="C113" s="472">
        <f>IF(D93="","-",+C112+1)</f>
        <v>2024</v>
      </c>
      <c r="D113" s="347">
        <f>IF(F112+SUM(E$101:E112)=D$92,F112,D$92-SUM(E$101:E112))</f>
        <v>16381.5</v>
      </c>
      <c r="E113" s="486">
        <f>IF(+J96&lt;F112,J96,D113)</f>
        <v>567</v>
      </c>
      <c r="F113" s="485">
        <f t="shared" si="37"/>
        <v>15814.5</v>
      </c>
      <c r="G113" s="485">
        <f t="shared" si="38"/>
        <v>16098</v>
      </c>
      <c r="H113" s="486">
        <f t="shared" si="39"/>
        <v>2340.7203459922102</v>
      </c>
      <c r="I113" s="542">
        <f t="shared" si="40"/>
        <v>2340.7203459922102</v>
      </c>
      <c r="J113" s="478">
        <f t="shared" si="34"/>
        <v>0</v>
      </c>
      <c r="K113" s="478"/>
      <c r="L113" s="487"/>
      <c r="M113" s="478">
        <f t="shared" si="41"/>
        <v>0</v>
      </c>
      <c r="N113" s="487"/>
      <c r="O113" s="478">
        <f t="shared" si="42"/>
        <v>0</v>
      </c>
      <c r="P113" s="478">
        <f t="shared" si="36"/>
        <v>0</v>
      </c>
    </row>
    <row r="114" spans="2:16">
      <c r="B114" s="160" t="str">
        <f t="shared" si="33"/>
        <v/>
      </c>
      <c r="C114" s="472">
        <f>IF(D93="","-",+C113+1)</f>
        <v>2025</v>
      </c>
      <c r="D114" s="347">
        <f>IF(F113+SUM(E$101:E113)=D$92,F113,D$92-SUM(E$101:E113))</f>
        <v>15814.5</v>
      </c>
      <c r="E114" s="486">
        <f>IF(+J96&lt;F113,J96,D114)</f>
        <v>567</v>
      </c>
      <c r="F114" s="485">
        <f t="shared" si="37"/>
        <v>15247.5</v>
      </c>
      <c r="G114" s="485">
        <f t="shared" si="38"/>
        <v>15531</v>
      </c>
      <c r="H114" s="486">
        <f t="shared" si="39"/>
        <v>2278.2467818117166</v>
      </c>
      <c r="I114" s="542">
        <f t="shared" si="40"/>
        <v>2278.2467818117166</v>
      </c>
      <c r="J114" s="478">
        <f t="shared" si="34"/>
        <v>0</v>
      </c>
      <c r="K114" s="478"/>
      <c r="L114" s="487"/>
      <c r="M114" s="478">
        <f t="shared" si="41"/>
        <v>0</v>
      </c>
      <c r="N114" s="487"/>
      <c r="O114" s="478">
        <f t="shared" si="42"/>
        <v>0</v>
      </c>
      <c r="P114" s="478">
        <f t="shared" si="36"/>
        <v>0</v>
      </c>
    </row>
    <row r="115" spans="2:16">
      <c r="B115" s="160" t="str">
        <f t="shared" si="33"/>
        <v/>
      </c>
      <c r="C115" s="472">
        <f>IF(D93="","-",+C114+1)</f>
        <v>2026</v>
      </c>
      <c r="D115" s="347">
        <f>IF(F114+SUM(E$101:E114)=D$92,F114,D$92-SUM(E$101:E114))</f>
        <v>15247.5</v>
      </c>
      <c r="E115" s="486">
        <f>IF(+J96&lt;F114,J96,D115)</f>
        <v>567</v>
      </c>
      <c r="F115" s="485">
        <f t="shared" si="37"/>
        <v>14680.5</v>
      </c>
      <c r="G115" s="485">
        <f t="shared" si="38"/>
        <v>14964</v>
      </c>
      <c r="H115" s="486">
        <f t="shared" si="39"/>
        <v>2215.7732176312234</v>
      </c>
      <c r="I115" s="542">
        <f t="shared" si="40"/>
        <v>2215.7732176312234</v>
      </c>
      <c r="J115" s="478">
        <f t="shared" si="34"/>
        <v>0</v>
      </c>
      <c r="K115" s="478"/>
      <c r="L115" s="487"/>
      <c r="M115" s="478">
        <f t="shared" si="41"/>
        <v>0</v>
      </c>
      <c r="N115" s="487"/>
      <c r="O115" s="478">
        <f t="shared" si="42"/>
        <v>0</v>
      </c>
      <c r="P115" s="478">
        <f t="shared" si="36"/>
        <v>0</v>
      </c>
    </row>
    <row r="116" spans="2:16">
      <c r="B116" s="160" t="str">
        <f t="shared" si="33"/>
        <v/>
      </c>
      <c r="C116" s="472">
        <f>IF(D93="","-",+C115+1)</f>
        <v>2027</v>
      </c>
      <c r="D116" s="347">
        <f>IF(F115+SUM(E$101:E115)=D$92,F115,D$92-SUM(E$101:E115))</f>
        <v>14680.5</v>
      </c>
      <c r="E116" s="486">
        <f>IF(+J96&lt;F115,J96,D116)</f>
        <v>567</v>
      </c>
      <c r="F116" s="485">
        <f t="shared" si="37"/>
        <v>14113.5</v>
      </c>
      <c r="G116" s="485">
        <f t="shared" si="38"/>
        <v>14397</v>
      </c>
      <c r="H116" s="486">
        <f t="shared" si="39"/>
        <v>2153.2996534507301</v>
      </c>
      <c r="I116" s="542">
        <f t="shared" si="40"/>
        <v>2153.2996534507301</v>
      </c>
      <c r="J116" s="478">
        <f t="shared" si="34"/>
        <v>0</v>
      </c>
      <c r="K116" s="478"/>
      <c r="L116" s="487"/>
      <c r="M116" s="478">
        <f t="shared" si="41"/>
        <v>0</v>
      </c>
      <c r="N116" s="487"/>
      <c r="O116" s="478">
        <f t="shared" si="42"/>
        <v>0</v>
      </c>
      <c r="P116" s="478">
        <f t="shared" si="36"/>
        <v>0</v>
      </c>
    </row>
    <row r="117" spans="2:16">
      <c r="B117" s="160" t="str">
        <f t="shared" si="33"/>
        <v/>
      </c>
      <c r="C117" s="472">
        <f>IF(D93="","-",+C116+1)</f>
        <v>2028</v>
      </c>
      <c r="D117" s="347">
        <f>IF(F116+SUM(E$101:E116)=D$92,F116,D$92-SUM(E$101:E116))</f>
        <v>14113.5</v>
      </c>
      <c r="E117" s="486">
        <f>IF(+J96&lt;F116,J96,D117)</f>
        <v>567</v>
      </c>
      <c r="F117" s="485">
        <f t="shared" si="37"/>
        <v>13546.5</v>
      </c>
      <c r="G117" s="485">
        <f t="shared" si="38"/>
        <v>13830</v>
      </c>
      <c r="H117" s="486">
        <f t="shared" si="39"/>
        <v>2090.8260892702365</v>
      </c>
      <c r="I117" s="542">
        <f t="shared" si="40"/>
        <v>2090.8260892702365</v>
      </c>
      <c r="J117" s="478">
        <f t="shared" si="34"/>
        <v>0</v>
      </c>
      <c r="K117" s="478"/>
      <c r="L117" s="487"/>
      <c r="M117" s="478">
        <f t="shared" si="41"/>
        <v>0</v>
      </c>
      <c r="N117" s="487"/>
      <c r="O117" s="478">
        <f t="shared" si="42"/>
        <v>0</v>
      </c>
      <c r="P117" s="478">
        <f t="shared" si="36"/>
        <v>0</v>
      </c>
    </row>
    <row r="118" spans="2:16">
      <c r="B118" s="160" t="str">
        <f t="shared" si="33"/>
        <v/>
      </c>
      <c r="C118" s="472">
        <f>IF(D93="","-",+C117+1)</f>
        <v>2029</v>
      </c>
      <c r="D118" s="347">
        <f>IF(F117+SUM(E$101:E117)=D$92,F117,D$92-SUM(E$101:E117))</f>
        <v>13546.5</v>
      </c>
      <c r="E118" s="486">
        <f>IF(+J96&lt;F117,J96,D118)</f>
        <v>567</v>
      </c>
      <c r="F118" s="485">
        <f t="shared" si="37"/>
        <v>12979.5</v>
      </c>
      <c r="G118" s="485">
        <f t="shared" si="38"/>
        <v>13263</v>
      </c>
      <c r="H118" s="486">
        <f t="shared" si="39"/>
        <v>2028.352525089743</v>
      </c>
      <c r="I118" s="542">
        <f t="shared" si="40"/>
        <v>2028.352525089743</v>
      </c>
      <c r="J118" s="478">
        <f t="shared" si="34"/>
        <v>0</v>
      </c>
      <c r="K118" s="478"/>
      <c r="L118" s="487"/>
      <c r="M118" s="478">
        <f t="shared" si="41"/>
        <v>0</v>
      </c>
      <c r="N118" s="487"/>
      <c r="O118" s="478">
        <f t="shared" si="42"/>
        <v>0</v>
      </c>
      <c r="P118" s="478">
        <f t="shared" si="36"/>
        <v>0</v>
      </c>
    </row>
    <row r="119" spans="2:16">
      <c r="B119" s="160" t="str">
        <f t="shared" si="33"/>
        <v/>
      </c>
      <c r="C119" s="472">
        <f>IF(D93="","-",+C118+1)</f>
        <v>2030</v>
      </c>
      <c r="D119" s="347">
        <f>IF(F118+SUM(E$101:E118)=D$92,F118,D$92-SUM(E$101:E118))</f>
        <v>12979.5</v>
      </c>
      <c r="E119" s="486">
        <f t="shared" ref="E119:E154" si="43">IF(+J$96&lt;F118,J$96,D119)</f>
        <v>567</v>
      </c>
      <c r="F119" s="485">
        <f t="shared" si="37"/>
        <v>12412.5</v>
      </c>
      <c r="G119" s="485">
        <f t="shared" si="38"/>
        <v>12696</v>
      </c>
      <c r="H119" s="486">
        <f t="shared" si="39"/>
        <v>1965.8789609092496</v>
      </c>
      <c r="I119" s="542">
        <f t="shared" si="40"/>
        <v>1965.8789609092496</v>
      </c>
      <c r="J119" s="478">
        <f t="shared" si="34"/>
        <v>0</v>
      </c>
      <c r="K119" s="478"/>
      <c r="L119" s="487"/>
      <c r="M119" s="478">
        <f t="shared" si="41"/>
        <v>0</v>
      </c>
      <c r="N119" s="487"/>
      <c r="O119" s="478">
        <f t="shared" si="42"/>
        <v>0</v>
      </c>
      <c r="P119" s="478">
        <f t="shared" si="36"/>
        <v>0</v>
      </c>
    </row>
    <row r="120" spans="2:16">
      <c r="B120" s="160" t="str">
        <f t="shared" si="33"/>
        <v/>
      </c>
      <c r="C120" s="472">
        <f>IF(D93="","-",+C119+1)</f>
        <v>2031</v>
      </c>
      <c r="D120" s="347">
        <f>IF(F119+SUM(E$101:E119)=D$92,F119,D$92-SUM(E$101:E119))</f>
        <v>12412.5</v>
      </c>
      <c r="E120" s="486">
        <f t="shared" si="43"/>
        <v>567</v>
      </c>
      <c r="F120" s="485">
        <f t="shared" si="37"/>
        <v>11845.5</v>
      </c>
      <c r="G120" s="485">
        <f t="shared" si="38"/>
        <v>12129</v>
      </c>
      <c r="H120" s="486">
        <f t="shared" si="39"/>
        <v>1903.4053967287562</v>
      </c>
      <c r="I120" s="542">
        <f t="shared" si="40"/>
        <v>1903.4053967287562</v>
      </c>
      <c r="J120" s="478">
        <f t="shared" si="34"/>
        <v>0</v>
      </c>
      <c r="K120" s="478"/>
      <c r="L120" s="487"/>
      <c r="M120" s="478">
        <f t="shared" si="41"/>
        <v>0</v>
      </c>
      <c r="N120" s="487"/>
      <c r="O120" s="478">
        <f t="shared" si="42"/>
        <v>0</v>
      </c>
      <c r="P120" s="478">
        <f t="shared" si="36"/>
        <v>0</v>
      </c>
    </row>
    <row r="121" spans="2:16">
      <c r="B121" s="160" t="str">
        <f t="shared" si="33"/>
        <v/>
      </c>
      <c r="C121" s="472">
        <f>IF(D93="","-",+C120+1)</f>
        <v>2032</v>
      </c>
      <c r="D121" s="347">
        <f>IF(F120+SUM(E$101:E120)=D$92,F120,D$92-SUM(E$101:E120))</f>
        <v>11845.5</v>
      </c>
      <c r="E121" s="486">
        <f t="shared" si="43"/>
        <v>567</v>
      </c>
      <c r="F121" s="485">
        <f t="shared" si="37"/>
        <v>11278.5</v>
      </c>
      <c r="G121" s="485">
        <f t="shared" si="38"/>
        <v>11562</v>
      </c>
      <c r="H121" s="486">
        <f t="shared" si="39"/>
        <v>1840.9318325482627</v>
      </c>
      <c r="I121" s="542">
        <f t="shared" si="40"/>
        <v>1840.9318325482627</v>
      </c>
      <c r="J121" s="478">
        <f t="shared" si="34"/>
        <v>0</v>
      </c>
      <c r="K121" s="478"/>
      <c r="L121" s="487"/>
      <c r="M121" s="478">
        <f t="shared" si="41"/>
        <v>0</v>
      </c>
      <c r="N121" s="487"/>
      <c r="O121" s="478">
        <f t="shared" si="42"/>
        <v>0</v>
      </c>
      <c r="P121" s="478">
        <f t="shared" si="36"/>
        <v>0</v>
      </c>
    </row>
    <row r="122" spans="2:16">
      <c r="B122" s="160" t="str">
        <f t="shared" si="33"/>
        <v/>
      </c>
      <c r="C122" s="472">
        <f>IF(D93="","-",+C121+1)</f>
        <v>2033</v>
      </c>
      <c r="D122" s="347">
        <f>IF(F121+SUM(E$101:E121)=D$92,F121,D$92-SUM(E$101:E121))</f>
        <v>11278.5</v>
      </c>
      <c r="E122" s="486">
        <f t="shared" si="43"/>
        <v>567</v>
      </c>
      <c r="F122" s="485">
        <f t="shared" si="37"/>
        <v>10711.5</v>
      </c>
      <c r="G122" s="485">
        <f t="shared" si="38"/>
        <v>10995</v>
      </c>
      <c r="H122" s="486">
        <f t="shared" si="39"/>
        <v>1778.4582683677693</v>
      </c>
      <c r="I122" s="542">
        <f t="shared" si="40"/>
        <v>1778.4582683677693</v>
      </c>
      <c r="J122" s="478">
        <f t="shared" si="34"/>
        <v>0</v>
      </c>
      <c r="K122" s="478"/>
      <c r="L122" s="487"/>
      <c r="M122" s="478">
        <f t="shared" si="41"/>
        <v>0</v>
      </c>
      <c r="N122" s="487"/>
      <c r="O122" s="478">
        <f t="shared" si="42"/>
        <v>0</v>
      </c>
      <c r="P122" s="478">
        <f t="shared" si="36"/>
        <v>0</v>
      </c>
    </row>
    <row r="123" spans="2:16">
      <c r="B123" s="160" t="str">
        <f t="shared" si="33"/>
        <v/>
      </c>
      <c r="C123" s="472">
        <f>IF(D93="","-",+C122+1)</f>
        <v>2034</v>
      </c>
      <c r="D123" s="347">
        <f>IF(F122+SUM(E$101:E122)=D$92,F122,D$92-SUM(E$101:E122))</f>
        <v>10711.5</v>
      </c>
      <c r="E123" s="486">
        <f t="shared" si="43"/>
        <v>567</v>
      </c>
      <c r="F123" s="485">
        <f t="shared" si="37"/>
        <v>10144.5</v>
      </c>
      <c r="G123" s="485">
        <f t="shared" si="38"/>
        <v>10428</v>
      </c>
      <c r="H123" s="486">
        <f t="shared" si="39"/>
        <v>1715.9847041872758</v>
      </c>
      <c r="I123" s="542">
        <f t="shared" si="40"/>
        <v>1715.9847041872758</v>
      </c>
      <c r="J123" s="478">
        <f t="shared" si="34"/>
        <v>0</v>
      </c>
      <c r="K123" s="478"/>
      <c r="L123" s="487"/>
      <c r="M123" s="478">
        <f t="shared" si="41"/>
        <v>0</v>
      </c>
      <c r="N123" s="487"/>
      <c r="O123" s="478">
        <f t="shared" si="42"/>
        <v>0</v>
      </c>
      <c r="P123" s="478">
        <f t="shared" si="36"/>
        <v>0</v>
      </c>
    </row>
    <row r="124" spans="2:16">
      <c r="B124" s="160" t="str">
        <f t="shared" si="33"/>
        <v/>
      </c>
      <c r="C124" s="472">
        <f>IF(D93="","-",+C123+1)</f>
        <v>2035</v>
      </c>
      <c r="D124" s="347">
        <f>IF(F123+SUM(E$101:E123)=D$92,F123,D$92-SUM(E$101:E123))</f>
        <v>10144.5</v>
      </c>
      <c r="E124" s="486">
        <f t="shared" si="43"/>
        <v>567</v>
      </c>
      <c r="F124" s="485">
        <f t="shared" si="37"/>
        <v>9577.5</v>
      </c>
      <c r="G124" s="485">
        <f t="shared" si="38"/>
        <v>9861</v>
      </c>
      <c r="H124" s="486">
        <f t="shared" si="39"/>
        <v>1653.5111400067824</v>
      </c>
      <c r="I124" s="542">
        <f t="shared" si="40"/>
        <v>1653.5111400067824</v>
      </c>
      <c r="J124" s="478">
        <f t="shared" si="34"/>
        <v>0</v>
      </c>
      <c r="K124" s="478"/>
      <c r="L124" s="487"/>
      <c r="M124" s="478">
        <f t="shared" si="41"/>
        <v>0</v>
      </c>
      <c r="N124" s="487"/>
      <c r="O124" s="478">
        <f t="shared" si="42"/>
        <v>0</v>
      </c>
      <c r="P124" s="478">
        <f t="shared" si="36"/>
        <v>0</v>
      </c>
    </row>
    <row r="125" spans="2:16">
      <c r="B125" s="160" t="str">
        <f t="shared" si="33"/>
        <v/>
      </c>
      <c r="C125" s="472">
        <f>IF(D93="","-",+C124+1)</f>
        <v>2036</v>
      </c>
      <c r="D125" s="347">
        <f>IF(F124+SUM(E$101:E124)=D$92,F124,D$92-SUM(E$101:E124))</f>
        <v>9577.5</v>
      </c>
      <c r="E125" s="486">
        <f t="shared" si="43"/>
        <v>567</v>
      </c>
      <c r="F125" s="485">
        <f t="shared" si="37"/>
        <v>9010.5</v>
      </c>
      <c r="G125" s="485">
        <f t="shared" si="38"/>
        <v>9294</v>
      </c>
      <c r="H125" s="486">
        <f t="shared" si="39"/>
        <v>1591.037575826289</v>
      </c>
      <c r="I125" s="542">
        <f t="shared" si="40"/>
        <v>1591.037575826289</v>
      </c>
      <c r="J125" s="478">
        <f t="shared" si="34"/>
        <v>0</v>
      </c>
      <c r="K125" s="478"/>
      <c r="L125" s="487"/>
      <c r="M125" s="478">
        <f t="shared" si="41"/>
        <v>0</v>
      </c>
      <c r="N125" s="487"/>
      <c r="O125" s="478">
        <f t="shared" si="42"/>
        <v>0</v>
      </c>
      <c r="P125" s="478">
        <f t="shared" si="36"/>
        <v>0</v>
      </c>
    </row>
    <row r="126" spans="2:16">
      <c r="B126" s="160" t="str">
        <f t="shared" si="33"/>
        <v/>
      </c>
      <c r="C126" s="472">
        <f>IF(D93="","-",+C125+1)</f>
        <v>2037</v>
      </c>
      <c r="D126" s="347">
        <f>IF(F125+SUM(E$101:E125)=D$92,F125,D$92-SUM(E$101:E125))</f>
        <v>9010.5</v>
      </c>
      <c r="E126" s="486">
        <f t="shared" si="43"/>
        <v>567</v>
      </c>
      <c r="F126" s="485">
        <f t="shared" si="37"/>
        <v>8443.5</v>
      </c>
      <c r="G126" s="485">
        <f t="shared" si="38"/>
        <v>8727</v>
      </c>
      <c r="H126" s="486">
        <f t="shared" si="39"/>
        <v>1528.5640116457957</v>
      </c>
      <c r="I126" s="542">
        <f t="shared" si="40"/>
        <v>1528.5640116457957</v>
      </c>
      <c r="J126" s="478">
        <f t="shared" si="34"/>
        <v>0</v>
      </c>
      <c r="K126" s="478"/>
      <c r="L126" s="487"/>
      <c r="M126" s="478">
        <f t="shared" si="41"/>
        <v>0</v>
      </c>
      <c r="N126" s="487"/>
      <c r="O126" s="478">
        <f t="shared" si="42"/>
        <v>0</v>
      </c>
      <c r="P126" s="478">
        <f t="shared" si="36"/>
        <v>0</v>
      </c>
    </row>
    <row r="127" spans="2:16">
      <c r="B127" s="160" t="str">
        <f t="shared" si="33"/>
        <v/>
      </c>
      <c r="C127" s="472">
        <f>IF(D93="","-",+C126+1)</f>
        <v>2038</v>
      </c>
      <c r="D127" s="347">
        <f>IF(F126+SUM(E$101:E126)=D$92,F126,D$92-SUM(E$101:E126))</f>
        <v>8443.5</v>
      </c>
      <c r="E127" s="486">
        <f t="shared" si="43"/>
        <v>567</v>
      </c>
      <c r="F127" s="485">
        <f t="shared" si="37"/>
        <v>7876.5</v>
      </c>
      <c r="G127" s="485">
        <f t="shared" si="38"/>
        <v>8160</v>
      </c>
      <c r="H127" s="486">
        <f t="shared" si="39"/>
        <v>1466.0904474653021</v>
      </c>
      <c r="I127" s="542">
        <f t="shared" si="40"/>
        <v>1466.0904474653021</v>
      </c>
      <c r="J127" s="478">
        <f t="shared" si="34"/>
        <v>0</v>
      </c>
      <c r="K127" s="478"/>
      <c r="L127" s="487"/>
      <c r="M127" s="478">
        <f t="shared" si="41"/>
        <v>0</v>
      </c>
      <c r="N127" s="487"/>
      <c r="O127" s="478">
        <f t="shared" si="42"/>
        <v>0</v>
      </c>
      <c r="P127" s="478">
        <f t="shared" si="36"/>
        <v>0</v>
      </c>
    </row>
    <row r="128" spans="2:16">
      <c r="B128" s="160" t="str">
        <f t="shared" si="33"/>
        <v/>
      </c>
      <c r="C128" s="472">
        <f>IF(D93="","-",+C127+1)</f>
        <v>2039</v>
      </c>
      <c r="D128" s="347">
        <f>IF(F127+SUM(E$101:E127)=D$92,F127,D$92-SUM(E$101:E127))</f>
        <v>7876.5</v>
      </c>
      <c r="E128" s="486">
        <f t="shared" si="43"/>
        <v>567</v>
      </c>
      <c r="F128" s="485">
        <f t="shared" si="37"/>
        <v>7309.5</v>
      </c>
      <c r="G128" s="485">
        <f t="shared" si="38"/>
        <v>7593</v>
      </c>
      <c r="H128" s="486">
        <f t="shared" si="39"/>
        <v>1403.6168832848089</v>
      </c>
      <c r="I128" s="542">
        <f t="shared" si="40"/>
        <v>1403.6168832848089</v>
      </c>
      <c r="J128" s="478">
        <f t="shared" si="34"/>
        <v>0</v>
      </c>
      <c r="K128" s="478"/>
      <c r="L128" s="487"/>
      <c r="M128" s="478">
        <f t="shared" si="41"/>
        <v>0</v>
      </c>
      <c r="N128" s="487"/>
      <c r="O128" s="478">
        <f t="shared" si="42"/>
        <v>0</v>
      </c>
      <c r="P128" s="478">
        <f t="shared" si="36"/>
        <v>0</v>
      </c>
    </row>
    <row r="129" spans="2:16">
      <c r="B129" s="160" t="str">
        <f t="shared" si="33"/>
        <v/>
      </c>
      <c r="C129" s="472">
        <f>IF(D93="","-",+C128+1)</f>
        <v>2040</v>
      </c>
      <c r="D129" s="347">
        <f>IF(F128+SUM(E$101:E128)=D$92,F128,D$92-SUM(E$101:E128))</f>
        <v>7309.5</v>
      </c>
      <c r="E129" s="486">
        <f t="shared" si="43"/>
        <v>567</v>
      </c>
      <c r="F129" s="485">
        <f t="shared" si="37"/>
        <v>6742.5</v>
      </c>
      <c r="G129" s="485">
        <f t="shared" si="38"/>
        <v>7026</v>
      </c>
      <c r="H129" s="486">
        <f t="shared" si="39"/>
        <v>1341.1433191043152</v>
      </c>
      <c r="I129" s="542">
        <f t="shared" si="40"/>
        <v>1341.1433191043152</v>
      </c>
      <c r="J129" s="478">
        <f t="shared" si="34"/>
        <v>0</v>
      </c>
      <c r="K129" s="478"/>
      <c r="L129" s="487"/>
      <c r="M129" s="478">
        <f t="shared" si="41"/>
        <v>0</v>
      </c>
      <c r="N129" s="487"/>
      <c r="O129" s="478">
        <f t="shared" si="42"/>
        <v>0</v>
      </c>
      <c r="P129" s="478">
        <f t="shared" si="36"/>
        <v>0</v>
      </c>
    </row>
    <row r="130" spans="2:16">
      <c r="B130" s="160" t="str">
        <f t="shared" si="33"/>
        <v/>
      </c>
      <c r="C130" s="472">
        <f>IF(D93="","-",+C129+1)</f>
        <v>2041</v>
      </c>
      <c r="D130" s="347">
        <f>IF(F129+SUM(E$101:E129)=D$92,F129,D$92-SUM(E$101:E129))</f>
        <v>6742.5</v>
      </c>
      <c r="E130" s="486">
        <f t="shared" si="43"/>
        <v>567</v>
      </c>
      <c r="F130" s="485">
        <f t="shared" si="37"/>
        <v>6175.5</v>
      </c>
      <c r="G130" s="485">
        <f t="shared" si="38"/>
        <v>6459</v>
      </c>
      <c r="H130" s="486">
        <f t="shared" si="39"/>
        <v>1278.669754923822</v>
      </c>
      <c r="I130" s="542">
        <f t="shared" si="40"/>
        <v>1278.669754923822</v>
      </c>
      <c r="J130" s="478">
        <f t="shared" si="34"/>
        <v>0</v>
      </c>
      <c r="K130" s="478"/>
      <c r="L130" s="487"/>
      <c r="M130" s="478">
        <f t="shared" si="41"/>
        <v>0</v>
      </c>
      <c r="N130" s="487"/>
      <c r="O130" s="478">
        <f t="shared" si="42"/>
        <v>0</v>
      </c>
      <c r="P130" s="478">
        <f t="shared" si="36"/>
        <v>0</v>
      </c>
    </row>
    <row r="131" spans="2:16">
      <c r="B131" s="160" t="str">
        <f t="shared" si="33"/>
        <v/>
      </c>
      <c r="C131" s="472">
        <f>IF(D93="","-",+C130+1)</f>
        <v>2042</v>
      </c>
      <c r="D131" s="347">
        <f>IF(F130+SUM(E$101:E130)=D$92,F130,D$92-SUM(E$101:E130))</f>
        <v>6175.5</v>
      </c>
      <c r="E131" s="486">
        <f t="shared" si="43"/>
        <v>567</v>
      </c>
      <c r="F131" s="485">
        <f t="shared" si="37"/>
        <v>5608.5</v>
      </c>
      <c r="G131" s="485">
        <f t="shared" si="38"/>
        <v>5892</v>
      </c>
      <c r="H131" s="486">
        <f t="shared" si="39"/>
        <v>1216.1961907433285</v>
      </c>
      <c r="I131" s="542">
        <f t="shared" si="40"/>
        <v>1216.1961907433285</v>
      </c>
      <c r="J131" s="478">
        <f t="shared" si="34"/>
        <v>0</v>
      </c>
      <c r="K131" s="478"/>
      <c r="L131" s="487"/>
      <c r="M131" s="478">
        <f t="shared" ref="M131:M154" si="44">IF(L541&lt;&gt;0,+H541-L541,0)</f>
        <v>0</v>
      </c>
      <c r="N131" s="487"/>
      <c r="O131" s="478">
        <f t="shared" si="42"/>
        <v>0</v>
      </c>
      <c r="P131" s="478">
        <f t="shared" ref="P131:P154" si="45">+O541-M541</f>
        <v>0</v>
      </c>
    </row>
    <row r="132" spans="2:16">
      <c r="B132" s="160" t="str">
        <f t="shared" si="33"/>
        <v/>
      </c>
      <c r="C132" s="472">
        <f>IF(D93="","-",+C131+1)</f>
        <v>2043</v>
      </c>
      <c r="D132" s="347">
        <f>IF(F131+SUM(E$101:E131)=D$92,F131,D$92-SUM(E$101:E131))</f>
        <v>5608.5</v>
      </c>
      <c r="E132" s="486">
        <f t="shared" si="43"/>
        <v>567</v>
      </c>
      <c r="F132" s="485">
        <f t="shared" si="37"/>
        <v>5041.5</v>
      </c>
      <c r="G132" s="485">
        <f t="shared" si="38"/>
        <v>5325</v>
      </c>
      <c r="H132" s="486">
        <f t="shared" si="39"/>
        <v>1153.7226265628351</v>
      </c>
      <c r="I132" s="542">
        <f t="shared" si="40"/>
        <v>1153.7226265628351</v>
      </c>
      <c r="J132" s="478">
        <f t="shared" si="34"/>
        <v>0</v>
      </c>
      <c r="K132" s="478"/>
      <c r="L132" s="487"/>
      <c r="M132" s="478">
        <f t="shared" si="44"/>
        <v>0</v>
      </c>
      <c r="N132" s="487"/>
      <c r="O132" s="478">
        <f t="shared" si="42"/>
        <v>0</v>
      </c>
      <c r="P132" s="478">
        <f t="shared" si="45"/>
        <v>0</v>
      </c>
    </row>
    <row r="133" spans="2:16">
      <c r="B133" s="160" t="str">
        <f t="shared" si="33"/>
        <v/>
      </c>
      <c r="C133" s="472">
        <f>IF(D93="","-",+C132+1)</f>
        <v>2044</v>
      </c>
      <c r="D133" s="347">
        <f>IF(F132+SUM(E$101:E132)=D$92,F132,D$92-SUM(E$101:E132))</f>
        <v>5041.5</v>
      </c>
      <c r="E133" s="486">
        <f t="shared" si="43"/>
        <v>567</v>
      </c>
      <c r="F133" s="485">
        <f t="shared" si="37"/>
        <v>4474.5</v>
      </c>
      <c r="G133" s="485">
        <f t="shared" ref="G133:G154" si="46">+(F133+D133)/2</f>
        <v>4758</v>
      </c>
      <c r="H133" s="486">
        <f t="shared" si="39"/>
        <v>1091.2490623823417</v>
      </c>
      <c r="I133" s="542">
        <f t="shared" si="40"/>
        <v>1091.2490623823417</v>
      </c>
      <c r="J133" s="478">
        <f t="shared" ref="J133:J154" si="47">+I541-H541</f>
        <v>0</v>
      </c>
      <c r="K133" s="478"/>
      <c r="L133" s="487"/>
      <c r="M133" s="478">
        <f t="shared" si="44"/>
        <v>0</v>
      </c>
      <c r="N133" s="487"/>
      <c r="O133" s="478">
        <f t="shared" si="42"/>
        <v>0</v>
      </c>
      <c r="P133" s="478">
        <f t="shared" si="45"/>
        <v>0</v>
      </c>
    </row>
    <row r="134" spans="2:16">
      <c r="B134" s="160" t="str">
        <f t="shared" ref="B134:B154" si="48">IF(D134=F133,"","IU")</f>
        <v/>
      </c>
      <c r="C134" s="472">
        <f>IF(D93="","-",+C133+1)</f>
        <v>2045</v>
      </c>
      <c r="D134" s="347">
        <f>IF(F133+SUM(E$101:E133)=D$92,F133,D$92-SUM(E$101:E133))</f>
        <v>4474.5</v>
      </c>
      <c r="E134" s="486">
        <f t="shared" si="43"/>
        <v>567</v>
      </c>
      <c r="F134" s="485">
        <f t="shared" ref="F134:F154" si="49">+D134-E134</f>
        <v>3907.5</v>
      </c>
      <c r="G134" s="485">
        <f t="shared" si="46"/>
        <v>4191</v>
      </c>
      <c r="H134" s="486">
        <f t="shared" si="39"/>
        <v>1028.7754982018482</v>
      </c>
      <c r="I134" s="542">
        <f t="shared" si="40"/>
        <v>1028.7754982018482</v>
      </c>
      <c r="J134" s="478">
        <f t="shared" si="47"/>
        <v>0</v>
      </c>
      <c r="K134" s="478"/>
      <c r="L134" s="487"/>
      <c r="M134" s="478">
        <f t="shared" si="44"/>
        <v>0</v>
      </c>
      <c r="N134" s="487"/>
      <c r="O134" s="478">
        <f t="shared" si="42"/>
        <v>0</v>
      </c>
      <c r="P134" s="478">
        <f t="shared" si="45"/>
        <v>0</v>
      </c>
    </row>
    <row r="135" spans="2:16">
      <c r="B135" s="160" t="str">
        <f t="shared" si="48"/>
        <v/>
      </c>
      <c r="C135" s="472">
        <f>IF(D93="","-",+C134+1)</f>
        <v>2046</v>
      </c>
      <c r="D135" s="347">
        <f>IF(F134+SUM(E$101:E134)=D$92,F134,D$92-SUM(E$101:E134))</f>
        <v>3907.5</v>
      </c>
      <c r="E135" s="486">
        <f t="shared" si="43"/>
        <v>567</v>
      </c>
      <c r="F135" s="485">
        <f t="shared" si="49"/>
        <v>3340.5</v>
      </c>
      <c r="G135" s="485">
        <f t="shared" si="46"/>
        <v>3624</v>
      </c>
      <c r="H135" s="486">
        <f t="shared" si="39"/>
        <v>966.30193402135478</v>
      </c>
      <c r="I135" s="542">
        <f t="shared" si="40"/>
        <v>966.30193402135478</v>
      </c>
      <c r="J135" s="478">
        <f t="shared" si="47"/>
        <v>0</v>
      </c>
      <c r="K135" s="478"/>
      <c r="L135" s="487"/>
      <c r="M135" s="478">
        <f t="shared" si="44"/>
        <v>0</v>
      </c>
      <c r="N135" s="487"/>
      <c r="O135" s="478">
        <f t="shared" si="42"/>
        <v>0</v>
      </c>
      <c r="P135" s="478">
        <f t="shared" si="45"/>
        <v>0</v>
      </c>
    </row>
    <row r="136" spans="2:16">
      <c r="B136" s="160" t="str">
        <f t="shared" si="48"/>
        <v/>
      </c>
      <c r="C136" s="472">
        <f>IF(D93="","-",+C135+1)</f>
        <v>2047</v>
      </c>
      <c r="D136" s="347">
        <f>IF(F135+SUM(E$101:E135)=D$92,F135,D$92-SUM(E$101:E135))</f>
        <v>3340.5</v>
      </c>
      <c r="E136" s="486">
        <f t="shared" si="43"/>
        <v>567</v>
      </c>
      <c r="F136" s="485">
        <f t="shared" si="49"/>
        <v>2773.5</v>
      </c>
      <c r="G136" s="485">
        <f t="shared" si="46"/>
        <v>3057</v>
      </c>
      <c r="H136" s="486">
        <f t="shared" si="39"/>
        <v>903.82836984086134</v>
      </c>
      <c r="I136" s="542">
        <f t="shared" si="40"/>
        <v>903.82836984086134</v>
      </c>
      <c r="J136" s="478">
        <f t="shared" si="47"/>
        <v>0</v>
      </c>
      <c r="K136" s="478"/>
      <c r="L136" s="487"/>
      <c r="M136" s="478">
        <f t="shared" si="44"/>
        <v>0</v>
      </c>
      <c r="N136" s="487"/>
      <c r="O136" s="478">
        <f t="shared" si="42"/>
        <v>0</v>
      </c>
      <c r="P136" s="478">
        <f t="shared" si="45"/>
        <v>0</v>
      </c>
    </row>
    <row r="137" spans="2:16">
      <c r="B137" s="160" t="str">
        <f t="shared" si="48"/>
        <v/>
      </c>
      <c r="C137" s="472">
        <f>IF(D93="","-",+C136+1)</f>
        <v>2048</v>
      </c>
      <c r="D137" s="347">
        <f>IF(F136+SUM(E$101:E136)=D$92,F136,D$92-SUM(E$101:E136))</f>
        <v>2773.5</v>
      </c>
      <c r="E137" s="486">
        <f t="shared" si="43"/>
        <v>567</v>
      </c>
      <c r="F137" s="485">
        <f t="shared" si="49"/>
        <v>2206.5</v>
      </c>
      <c r="G137" s="485">
        <f t="shared" si="46"/>
        <v>2490</v>
      </c>
      <c r="H137" s="486">
        <f t="shared" si="39"/>
        <v>841.3548056603679</v>
      </c>
      <c r="I137" s="542">
        <f t="shared" si="40"/>
        <v>841.3548056603679</v>
      </c>
      <c r="J137" s="478">
        <f t="shared" si="47"/>
        <v>0</v>
      </c>
      <c r="K137" s="478"/>
      <c r="L137" s="487"/>
      <c r="M137" s="478">
        <f t="shared" si="44"/>
        <v>0</v>
      </c>
      <c r="N137" s="487"/>
      <c r="O137" s="478">
        <f t="shared" si="42"/>
        <v>0</v>
      </c>
      <c r="P137" s="478">
        <f t="shared" si="45"/>
        <v>0</v>
      </c>
    </row>
    <row r="138" spans="2:16">
      <c r="B138" s="160" t="str">
        <f t="shared" si="48"/>
        <v/>
      </c>
      <c r="C138" s="472">
        <f>IF(D93="","-",+C137+1)</f>
        <v>2049</v>
      </c>
      <c r="D138" s="347">
        <f>IF(F137+SUM(E$101:E137)=D$92,F137,D$92-SUM(E$101:E137))</f>
        <v>2206.5</v>
      </c>
      <c r="E138" s="486">
        <f t="shared" si="43"/>
        <v>567</v>
      </c>
      <c r="F138" s="485">
        <f t="shared" si="49"/>
        <v>1639.5</v>
      </c>
      <c r="G138" s="485">
        <f t="shared" si="46"/>
        <v>1923</v>
      </c>
      <c r="H138" s="486">
        <f t="shared" si="39"/>
        <v>778.88124147987446</v>
      </c>
      <c r="I138" s="542">
        <f t="shared" si="40"/>
        <v>778.88124147987446</v>
      </c>
      <c r="J138" s="478">
        <f t="shared" si="47"/>
        <v>0</v>
      </c>
      <c r="K138" s="478"/>
      <c r="L138" s="487"/>
      <c r="M138" s="478">
        <f t="shared" si="44"/>
        <v>0</v>
      </c>
      <c r="N138" s="487"/>
      <c r="O138" s="478">
        <f t="shared" si="42"/>
        <v>0</v>
      </c>
      <c r="P138" s="478">
        <f t="shared" si="45"/>
        <v>0</v>
      </c>
    </row>
    <row r="139" spans="2:16">
      <c r="B139" s="160" t="str">
        <f t="shared" si="48"/>
        <v/>
      </c>
      <c r="C139" s="472">
        <f>IF(D93="","-",+C138+1)</f>
        <v>2050</v>
      </c>
      <c r="D139" s="347">
        <f>IF(F138+SUM(E$101:E138)=D$92,F138,D$92-SUM(E$101:E138))</f>
        <v>1639.5</v>
      </c>
      <c r="E139" s="486">
        <f t="shared" si="43"/>
        <v>567</v>
      </c>
      <c r="F139" s="485">
        <f t="shared" si="49"/>
        <v>1072.5</v>
      </c>
      <c r="G139" s="485">
        <f t="shared" si="46"/>
        <v>1356</v>
      </c>
      <c r="H139" s="486">
        <f t="shared" si="39"/>
        <v>716.40767729938113</v>
      </c>
      <c r="I139" s="542">
        <f t="shared" si="40"/>
        <v>716.40767729938113</v>
      </c>
      <c r="J139" s="478">
        <f t="shared" si="47"/>
        <v>0</v>
      </c>
      <c r="K139" s="478"/>
      <c r="L139" s="487"/>
      <c r="M139" s="478">
        <f t="shared" si="44"/>
        <v>0</v>
      </c>
      <c r="N139" s="487"/>
      <c r="O139" s="478">
        <f t="shared" si="42"/>
        <v>0</v>
      </c>
      <c r="P139" s="478">
        <f t="shared" si="45"/>
        <v>0</v>
      </c>
    </row>
    <row r="140" spans="2:16">
      <c r="B140" s="160" t="str">
        <f t="shared" si="48"/>
        <v/>
      </c>
      <c r="C140" s="472">
        <f>IF(D93="","-",+C139+1)</f>
        <v>2051</v>
      </c>
      <c r="D140" s="347">
        <f>IF(F139+SUM(E$101:E139)=D$92,F139,D$92-SUM(E$101:E139))</f>
        <v>1072.5</v>
      </c>
      <c r="E140" s="486">
        <f t="shared" si="43"/>
        <v>567</v>
      </c>
      <c r="F140" s="485">
        <f t="shared" si="49"/>
        <v>505.5</v>
      </c>
      <c r="G140" s="485">
        <f t="shared" si="46"/>
        <v>789</v>
      </c>
      <c r="H140" s="486">
        <f t="shared" si="39"/>
        <v>653.93411311888769</v>
      </c>
      <c r="I140" s="542">
        <f t="shared" si="40"/>
        <v>653.93411311888769</v>
      </c>
      <c r="J140" s="478">
        <f t="shared" si="47"/>
        <v>0</v>
      </c>
      <c r="K140" s="478"/>
      <c r="L140" s="487"/>
      <c r="M140" s="478">
        <f t="shared" si="44"/>
        <v>0</v>
      </c>
      <c r="N140" s="487"/>
      <c r="O140" s="478">
        <f t="shared" si="42"/>
        <v>0</v>
      </c>
      <c r="P140" s="478">
        <f t="shared" si="45"/>
        <v>0</v>
      </c>
    </row>
    <row r="141" spans="2:16">
      <c r="B141" s="160" t="str">
        <f t="shared" si="48"/>
        <v/>
      </c>
      <c r="C141" s="472">
        <f>IF(D93="","-",+C140+1)</f>
        <v>2052</v>
      </c>
      <c r="D141" s="347">
        <f>IF(F140+SUM(E$101:E140)=D$92,F140,D$92-SUM(E$101:E140))</f>
        <v>505.5</v>
      </c>
      <c r="E141" s="486">
        <f t="shared" si="43"/>
        <v>505.5</v>
      </c>
      <c r="F141" s="485">
        <f t="shared" si="49"/>
        <v>0</v>
      </c>
      <c r="G141" s="485">
        <f t="shared" si="46"/>
        <v>252.75</v>
      </c>
      <c r="H141" s="486">
        <f t="shared" si="39"/>
        <v>533.34866551432049</v>
      </c>
      <c r="I141" s="542">
        <f t="shared" si="40"/>
        <v>533.34866551432049</v>
      </c>
      <c r="J141" s="478">
        <f t="shared" si="47"/>
        <v>0</v>
      </c>
      <c r="K141" s="478"/>
      <c r="L141" s="487"/>
      <c r="M141" s="478">
        <f t="shared" si="44"/>
        <v>0</v>
      </c>
      <c r="N141" s="487"/>
      <c r="O141" s="478">
        <f t="shared" si="42"/>
        <v>0</v>
      </c>
      <c r="P141" s="478">
        <f t="shared" si="45"/>
        <v>0</v>
      </c>
    </row>
    <row r="142" spans="2:16">
      <c r="B142" s="160" t="str">
        <f t="shared" si="48"/>
        <v/>
      </c>
      <c r="C142" s="472">
        <f>IF(D93="","-",+C141+1)</f>
        <v>2053</v>
      </c>
      <c r="D142" s="347">
        <f>IF(F141+SUM(E$101:E141)=D$92,F141,D$92-SUM(E$101:E141))</f>
        <v>0</v>
      </c>
      <c r="E142" s="486">
        <f t="shared" si="43"/>
        <v>0</v>
      </c>
      <c r="F142" s="485">
        <f t="shared" si="49"/>
        <v>0</v>
      </c>
      <c r="G142" s="485">
        <f t="shared" si="46"/>
        <v>0</v>
      </c>
      <c r="H142" s="486">
        <f t="shared" si="39"/>
        <v>0</v>
      </c>
      <c r="I142" s="542">
        <f t="shared" si="40"/>
        <v>0</v>
      </c>
      <c r="J142" s="478">
        <f t="shared" si="47"/>
        <v>0</v>
      </c>
      <c r="K142" s="478"/>
      <c r="L142" s="487"/>
      <c r="M142" s="478">
        <f t="shared" si="44"/>
        <v>0</v>
      </c>
      <c r="N142" s="487"/>
      <c r="O142" s="478">
        <f t="shared" si="42"/>
        <v>0</v>
      </c>
      <c r="P142" s="478">
        <f t="shared" si="45"/>
        <v>0</v>
      </c>
    </row>
    <row r="143" spans="2:16">
      <c r="B143" s="160" t="str">
        <f t="shared" si="48"/>
        <v/>
      </c>
      <c r="C143" s="472">
        <f>IF(D93="","-",+C142+1)</f>
        <v>2054</v>
      </c>
      <c r="D143" s="347">
        <f>IF(F142+SUM(E$101:E142)=D$92,F142,D$92-SUM(E$101:E142))</f>
        <v>0</v>
      </c>
      <c r="E143" s="486">
        <f t="shared" si="43"/>
        <v>0</v>
      </c>
      <c r="F143" s="485">
        <f t="shared" si="49"/>
        <v>0</v>
      </c>
      <c r="G143" s="485">
        <f t="shared" si="46"/>
        <v>0</v>
      </c>
      <c r="H143" s="486">
        <f t="shared" si="39"/>
        <v>0</v>
      </c>
      <c r="I143" s="542">
        <f t="shared" si="40"/>
        <v>0</v>
      </c>
      <c r="J143" s="478">
        <f t="shared" si="47"/>
        <v>0</v>
      </c>
      <c r="K143" s="478"/>
      <c r="L143" s="487"/>
      <c r="M143" s="478">
        <f t="shared" si="44"/>
        <v>0</v>
      </c>
      <c r="N143" s="487"/>
      <c r="O143" s="478">
        <f t="shared" si="42"/>
        <v>0</v>
      </c>
      <c r="P143" s="478">
        <f t="shared" si="45"/>
        <v>0</v>
      </c>
    </row>
    <row r="144" spans="2:16">
      <c r="B144" s="160" t="str">
        <f t="shared" si="48"/>
        <v/>
      </c>
      <c r="C144" s="472">
        <f>IF(D93="","-",+C143+1)</f>
        <v>2055</v>
      </c>
      <c r="D144" s="347">
        <f>IF(F143+SUM(E$101:E143)=D$92,F143,D$92-SUM(E$101:E143))</f>
        <v>0</v>
      </c>
      <c r="E144" s="486">
        <f t="shared" si="43"/>
        <v>0</v>
      </c>
      <c r="F144" s="485">
        <f t="shared" si="49"/>
        <v>0</v>
      </c>
      <c r="G144" s="485">
        <f t="shared" si="46"/>
        <v>0</v>
      </c>
      <c r="H144" s="486">
        <f t="shared" si="39"/>
        <v>0</v>
      </c>
      <c r="I144" s="542">
        <f t="shared" si="40"/>
        <v>0</v>
      </c>
      <c r="J144" s="478">
        <f t="shared" si="47"/>
        <v>0</v>
      </c>
      <c r="K144" s="478"/>
      <c r="L144" s="487"/>
      <c r="M144" s="478">
        <f t="shared" si="44"/>
        <v>0</v>
      </c>
      <c r="N144" s="487"/>
      <c r="O144" s="478">
        <f t="shared" si="42"/>
        <v>0</v>
      </c>
      <c r="P144" s="478">
        <f t="shared" si="45"/>
        <v>0</v>
      </c>
    </row>
    <row r="145" spans="2:16">
      <c r="B145" s="160" t="str">
        <f t="shared" si="48"/>
        <v/>
      </c>
      <c r="C145" s="472">
        <f>IF(D93="","-",+C144+1)</f>
        <v>2056</v>
      </c>
      <c r="D145" s="347">
        <f>IF(F144+SUM(E$101:E144)=D$92,F144,D$92-SUM(E$101:E144))</f>
        <v>0</v>
      </c>
      <c r="E145" s="486">
        <f t="shared" si="43"/>
        <v>0</v>
      </c>
      <c r="F145" s="485">
        <f t="shared" si="49"/>
        <v>0</v>
      </c>
      <c r="G145" s="485">
        <f t="shared" si="46"/>
        <v>0</v>
      </c>
      <c r="H145" s="486">
        <f t="shared" si="39"/>
        <v>0</v>
      </c>
      <c r="I145" s="542">
        <f t="shared" si="40"/>
        <v>0</v>
      </c>
      <c r="J145" s="478">
        <f t="shared" si="47"/>
        <v>0</v>
      </c>
      <c r="K145" s="478"/>
      <c r="L145" s="487"/>
      <c r="M145" s="478">
        <f t="shared" si="44"/>
        <v>0</v>
      </c>
      <c r="N145" s="487"/>
      <c r="O145" s="478">
        <f t="shared" si="42"/>
        <v>0</v>
      </c>
      <c r="P145" s="478">
        <f t="shared" si="45"/>
        <v>0</v>
      </c>
    </row>
    <row r="146" spans="2:16">
      <c r="B146" s="160" t="str">
        <f t="shared" si="48"/>
        <v/>
      </c>
      <c r="C146" s="472">
        <f>IF(D93="","-",+C145+1)</f>
        <v>2057</v>
      </c>
      <c r="D146" s="347">
        <f>IF(F145+SUM(E$101:E145)=D$92,F145,D$92-SUM(E$101:E145))</f>
        <v>0</v>
      </c>
      <c r="E146" s="486">
        <f t="shared" si="43"/>
        <v>0</v>
      </c>
      <c r="F146" s="485">
        <f t="shared" si="49"/>
        <v>0</v>
      </c>
      <c r="G146" s="485">
        <f t="shared" si="46"/>
        <v>0</v>
      </c>
      <c r="H146" s="486">
        <f t="shared" si="39"/>
        <v>0</v>
      </c>
      <c r="I146" s="542">
        <f t="shared" si="40"/>
        <v>0</v>
      </c>
      <c r="J146" s="478">
        <f t="shared" si="47"/>
        <v>0</v>
      </c>
      <c r="K146" s="478"/>
      <c r="L146" s="487"/>
      <c r="M146" s="478">
        <f t="shared" si="44"/>
        <v>0</v>
      </c>
      <c r="N146" s="487"/>
      <c r="O146" s="478">
        <f t="shared" si="42"/>
        <v>0</v>
      </c>
      <c r="P146" s="478">
        <f t="shared" si="45"/>
        <v>0</v>
      </c>
    </row>
    <row r="147" spans="2:16">
      <c r="B147" s="160" t="str">
        <f t="shared" si="48"/>
        <v/>
      </c>
      <c r="C147" s="472">
        <f>IF(D93="","-",+C146+1)</f>
        <v>2058</v>
      </c>
      <c r="D147" s="347">
        <f>IF(F146+SUM(E$101:E146)=D$92,F146,D$92-SUM(E$101:E146))</f>
        <v>0</v>
      </c>
      <c r="E147" s="486">
        <f t="shared" si="43"/>
        <v>0</v>
      </c>
      <c r="F147" s="485">
        <f t="shared" si="49"/>
        <v>0</v>
      </c>
      <c r="G147" s="485">
        <f t="shared" si="46"/>
        <v>0</v>
      </c>
      <c r="H147" s="486">
        <f t="shared" si="39"/>
        <v>0</v>
      </c>
      <c r="I147" s="542">
        <f t="shared" si="40"/>
        <v>0</v>
      </c>
      <c r="J147" s="478">
        <f t="shared" si="47"/>
        <v>0</v>
      </c>
      <c r="K147" s="478"/>
      <c r="L147" s="487"/>
      <c r="M147" s="478">
        <f t="shared" si="44"/>
        <v>0</v>
      </c>
      <c r="N147" s="487"/>
      <c r="O147" s="478">
        <f t="shared" si="42"/>
        <v>0</v>
      </c>
      <c r="P147" s="478">
        <f t="shared" si="45"/>
        <v>0</v>
      </c>
    </row>
    <row r="148" spans="2:16">
      <c r="B148" s="160" t="str">
        <f t="shared" si="48"/>
        <v/>
      </c>
      <c r="C148" s="472">
        <f>IF(D93="","-",+C147+1)</f>
        <v>2059</v>
      </c>
      <c r="D148" s="347">
        <f>IF(F147+SUM(E$101:E147)=D$92,F147,D$92-SUM(E$101:E147))</f>
        <v>0</v>
      </c>
      <c r="E148" s="486">
        <f t="shared" si="43"/>
        <v>0</v>
      </c>
      <c r="F148" s="485">
        <f t="shared" si="49"/>
        <v>0</v>
      </c>
      <c r="G148" s="485">
        <f t="shared" si="46"/>
        <v>0</v>
      </c>
      <c r="H148" s="486">
        <f t="shared" si="39"/>
        <v>0</v>
      </c>
      <c r="I148" s="542">
        <f t="shared" si="40"/>
        <v>0</v>
      </c>
      <c r="J148" s="478">
        <f t="shared" si="47"/>
        <v>0</v>
      </c>
      <c r="K148" s="478"/>
      <c r="L148" s="487"/>
      <c r="M148" s="478">
        <f t="shared" si="44"/>
        <v>0</v>
      </c>
      <c r="N148" s="487"/>
      <c r="O148" s="478">
        <f t="shared" si="42"/>
        <v>0</v>
      </c>
      <c r="P148" s="478">
        <f t="shared" si="45"/>
        <v>0</v>
      </c>
    </row>
    <row r="149" spans="2:16">
      <c r="B149" s="160" t="str">
        <f t="shared" si="48"/>
        <v/>
      </c>
      <c r="C149" s="472">
        <f>IF(D93="","-",+C148+1)</f>
        <v>2060</v>
      </c>
      <c r="D149" s="347">
        <f>IF(F148+SUM(E$101:E148)=D$92,F148,D$92-SUM(E$101:E148))</f>
        <v>0</v>
      </c>
      <c r="E149" s="486">
        <f t="shared" si="43"/>
        <v>0</v>
      </c>
      <c r="F149" s="485">
        <f t="shared" si="49"/>
        <v>0</v>
      </c>
      <c r="G149" s="485">
        <f t="shared" si="46"/>
        <v>0</v>
      </c>
      <c r="H149" s="486">
        <f t="shared" si="39"/>
        <v>0</v>
      </c>
      <c r="I149" s="542">
        <f t="shared" si="40"/>
        <v>0</v>
      </c>
      <c r="J149" s="478">
        <f t="shared" si="47"/>
        <v>0</v>
      </c>
      <c r="K149" s="478"/>
      <c r="L149" s="487"/>
      <c r="M149" s="478">
        <f t="shared" si="44"/>
        <v>0</v>
      </c>
      <c r="N149" s="487"/>
      <c r="O149" s="478">
        <f t="shared" si="42"/>
        <v>0</v>
      </c>
      <c r="P149" s="478">
        <f t="shared" si="45"/>
        <v>0</v>
      </c>
    </row>
    <row r="150" spans="2:16">
      <c r="B150" s="160" t="str">
        <f t="shared" si="48"/>
        <v/>
      </c>
      <c r="C150" s="472">
        <f>IF(D93="","-",+C149+1)</f>
        <v>2061</v>
      </c>
      <c r="D150" s="347">
        <f>IF(F149+SUM(E$101:E149)=D$92,F149,D$92-SUM(E$101:E149))</f>
        <v>0</v>
      </c>
      <c r="E150" s="486">
        <f t="shared" si="43"/>
        <v>0</v>
      </c>
      <c r="F150" s="485">
        <f t="shared" si="49"/>
        <v>0</v>
      </c>
      <c r="G150" s="485">
        <f t="shared" si="46"/>
        <v>0</v>
      </c>
      <c r="H150" s="486">
        <f t="shared" si="39"/>
        <v>0</v>
      </c>
      <c r="I150" s="542">
        <f t="shared" si="40"/>
        <v>0</v>
      </c>
      <c r="J150" s="478">
        <f t="shared" si="47"/>
        <v>0</v>
      </c>
      <c r="K150" s="478"/>
      <c r="L150" s="487"/>
      <c r="M150" s="478">
        <f t="shared" si="44"/>
        <v>0</v>
      </c>
      <c r="N150" s="487"/>
      <c r="O150" s="478">
        <f t="shared" si="42"/>
        <v>0</v>
      </c>
      <c r="P150" s="478">
        <f t="shared" si="45"/>
        <v>0</v>
      </c>
    </row>
    <row r="151" spans="2:16">
      <c r="B151" s="160" t="str">
        <f t="shared" si="48"/>
        <v/>
      </c>
      <c r="C151" s="472">
        <f>IF(D93="","-",+C150+1)</f>
        <v>2062</v>
      </c>
      <c r="D151" s="347">
        <f>IF(F150+SUM(E$101:E150)=D$92,F150,D$92-SUM(E$101:E150))</f>
        <v>0</v>
      </c>
      <c r="E151" s="486">
        <f t="shared" si="43"/>
        <v>0</v>
      </c>
      <c r="F151" s="485">
        <f t="shared" si="49"/>
        <v>0</v>
      </c>
      <c r="G151" s="485">
        <f t="shared" si="46"/>
        <v>0</v>
      </c>
      <c r="H151" s="486">
        <f t="shared" si="39"/>
        <v>0</v>
      </c>
      <c r="I151" s="542">
        <f t="shared" si="40"/>
        <v>0</v>
      </c>
      <c r="J151" s="478">
        <f t="shared" si="47"/>
        <v>0</v>
      </c>
      <c r="K151" s="478"/>
      <c r="L151" s="487"/>
      <c r="M151" s="478">
        <f t="shared" si="44"/>
        <v>0</v>
      </c>
      <c r="N151" s="487"/>
      <c r="O151" s="478">
        <f t="shared" si="42"/>
        <v>0</v>
      </c>
      <c r="P151" s="478">
        <f t="shared" si="45"/>
        <v>0</v>
      </c>
    </row>
    <row r="152" spans="2:16">
      <c r="B152" s="160" t="str">
        <f t="shared" si="48"/>
        <v/>
      </c>
      <c r="C152" s="472">
        <f>IF(D93="","-",+C151+1)</f>
        <v>2063</v>
      </c>
      <c r="D152" s="347">
        <f>IF(F151+SUM(E$101:E151)=D$92,F151,D$92-SUM(E$101:E151))</f>
        <v>0</v>
      </c>
      <c r="E152" s="486">
        <f t="shared" si="43"/>
        <v>0</v>
      </c>
      <c r="F152" s="485">
        <f t="shared" si="49"/>
        <v>0</v>
      </c>
      <c r="G152" s="485">
        <f t="shared" si="46"/>
        <v>0</v>
      </c>
      <c r="H152" s="486">
        <f t="shared" si="39"/>
        <v>0</v>
      </c>
      <c r="I152" s="542">
        <f t="shared" si="40"/>
        <v>0</v>
      </c>
      <c r="J152" s="478">
        <f t="shared" si="47"/>
        <v>0</v>
      </c>
      <c r="K152" s="478"/>
      <c r="L152" s="487"/>
      <c r="M152" s="478">
        <f t="shared" si="44"/>
        <v>0</v>
      </c>
      <c r="N152" s="487"/>
      <c r="O152" s="478">
        <f t="shared" si="42"/>
        <v>0</v>
      </c>
      <c r="P152" s="478">
        <f t="shared" si="45"/>
        <v>0</v>
      </c>
    </row>
    <row r="153" spans="2:16">
      <c r="B153" s="160" t="str">
        <f t="shared" si="48"/>
        <v/>
      </c>
      <c r="C153" s="472">
        <f>IF(D93="","-",+C152+1)</f>
        <v>2064</v>
      </c>
      <c r="D153" s="347">
        <f>IF(F152+SUM(E$101:E152)=D$92,F152,D$92-SUM(E$101:E152))</f>
        <v>0</v>
      </c>
      <c r="E153" s="486">
        <f t="shared" si="43"/>
        <v>0</v>
      </c>
      <c r="F153" s="485">
        <f t="shared" si="49"/>
        <v>0</v>
      </c>
      <c r="G153" s="485">
        <f t="shared" si="46"/>
        <v>0</v>
      </c>
      <c r="H153" s="486">
        <f t="shared" si="39"/>
        <v>0</v>
      </c>
      <c r="I153" s="542">
        <f t="shared" si="40"/>
        <v>0</v>
      </c>
      <c r="J153" s="478">
        <f t="shared" si="47"/>
        <v>0</v>
      </c>
      <c r="K153" s="478"/>
      <c r="L153" s="487"/>
      <c r="M153" s="478">
        <f t="shared" si="44"/>
        <v>0</v>
      </c>
      <c r="N153" s="487"/>
      <c r="O153" s="478">
        <f t="shared" si="42"/>
        <v>0</v>
      </c>
      <c r="P153" s="478">
        <f t="shared" si="45"/>
        <v>0</v>
      </c>
    </row>
    <row r="154" spans="2:16" ht="13.5" thickBot="1">
      <c r="B154" s="160" t="str">
        <f t="shared" si="48"/>
        <v/>
      </c>
      <c r="C154" s="489">
        <f>IF(D93="","-",+C153+1)</f>
        <v>2065</v>
      </c>
      <c r="D154" s="543">
        <f>IF(F153+SUM(E$101:E153)=D$92,F153,D$92-SUM(E$101:E153))</f>
        <v>0</v>
      </c>
      <c r="E154" s="544">
        <f t="shared" si="43"/>
        <v>0</v>
      </c>
      <c r="F154" s="490">
        <f t="shared" si="49"/>
        <v>0</v>
      </c>
      <c r="G154" s="490">
        <f t="shared" si="46"/>
        <v>0</v>
      </c>
      <c r="H154" s="492">
        <f t="shared" ref="H154" si="50">+J$94*G154+E154</f>
        <v>0</v>
      </c>
      <c r="I154" s="545">
        <f t="shared" ref="I154" si="51">+J$95*G154+E154</f>
        <v>0</v>
      </c>
      <c r="J154" s="495">
        <f t="shared" si="47"/>
        <v>0</v>
      </c>
      <c r="K154" s="478"/>
      <c r="L154" s="494"/>
      <c r="M154" s="495">
        <f t="shared" si="44"/>
        <v>0</v>
      </c>
      <c r="N154" s="494"/>
      <c r="O154" s="478">
        <f t="shared" si="42"/>
        <v>0</v>
      </c>
      <c r="P154" s="495">
        <f t="shared" si="45"/>
        <v>0</v>
      </c>
    </row>
    <row r="155" spans="2:16">
      <c r="C155" s="347" t="s">
        <v>77</v>
      </c>
      <c r="D155" s="348"/>
      <c r="E155" s="348">
        <f>SUM(E101:E154)</f>
        <v>22097</v>
      </c>
      <c r="F155" s="348"/>
      <c r="G155" s="348"/>
      <c r="H155" s="348">
        <f>SUM(H101:H154)</f>
        <v>77182.323361134127</v>
      </c>
      <c r="I155" s="348">
        <f>SUM(I101:I154)</f>
        <v>77182.323361134127</v>
      </c>
      <c r="J155" s="348">
        <f>SUM(J101:J154)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1" priority="3" stopIfTrue="1" operator="equal">
      <formula>$I$10</formula>
    </cfRule>
  </conditionalFormatting>
  <conditionalFormatting sqref="C102:C152">
    <cfRule type="cellIs" dxfId="40" priority="4" stopIfTrue="1" operator="equal">
      <formula>$J$92</formula>
    </cfRule>
  </conditionalFormatting>
  <conditionalFormatting sqref="C153:C154">
    <cfRule type="cellIs" dxfId="39" priority="2" stopIfTrue="1" operator="equal">
      <formula>$J$92</formula>
    </cfRule>
  </conditionalFormatting>
  <conditionalFormatting sqref="C100:C101">
    <cfRule type="cellIs" dxfId="38" priority="1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9"/>
  <dimension ref="A1:P162"/>
  <sheetViews>
    <sheetView view="pageBreakPreview" zoomScale="75" zoomScaleNormal="100" zoomScaleSheetLayoutView="75" workbookViewId="0">
      <selection activeCell="D12" sqref="D1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14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104126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104126</v>
      </c>
      <c r="O6" s="233"/>
      <c r="P6" s="233"/>
    </row>
    <row r="7" spans="1:16" ht="13.5" thickBot="1">
      <c r="C7" s="431" t="s">
        <v>46</v>
      </c>
      <c r="D7" s="599" t="s">
        <v>239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238</v>
      </c>
      <c r="E9" s="577" t="s">
        <v>290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1035552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2013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24656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0" t="s">
        <v>105</v>
      </c>
      <c r="O16" s="469" t="s">
        <v>105</v>
      </c>
      <c r="P16" s="243"/>
    </row>
    <row r="17" spans="2:16">
      <c r="B17" s="160"/>
      <c r="C17" s="472">
        <f>IF(D11= "","-",D11)</f>
        <v>2013</v>
      </c>
      <c r="D17" s="581">
        <v>5562500</v>
      </c>
      <c r="E17" s="601">
        <v>89142.628205128203</v>
      </c>
      <c r="F17" s="581">
        <v>5473357.371794872</v>
      </c>
      <c r="G17" s="601">
        <v>870775.06277038739</v>
      </c>
      <c r="H17" s="602">
        <v>870775.06277038739</v>
      </c>
      <c r="I17" s="475">
        <v>0</v>
      </c>
      <c r="J17" s="349"/>
      <c r="K17" s="554">
        <f t="shared" ref="K17:K22" si="0">G17</f>
        <v>870775.06277038739</v>
      </c>
      <c r="L17" s="603">
        <f t="shared" ref="L17:L22" si="1">IF(K17&lt;&gt;0,+G17-K17,0)</f>
        <v>0</v>
      </c>
      <c r="M17" s="554">
        <f t="shared" ref="M17:M22" si="2">H17</f>
        <v>870775.06277038739</v>
      </c>
      <c r="N17" s="477">
        <f t="shared" ref="N17:N22" si="3">IF(M17&lt;&gt;0,+H17-M17,0)</f>
        <v>0</v>
      </c>
      <c r="O17" s="475">
        <f t="shared" ref="O17:O22" si="4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2014</v>
      </c>
      <c r="D18" s="586">
        <v>5473357</v>
      </c>
      <c r="E18" s="585">
        <v>19910</v>
      </c>
      <c r="F18" s="586">
        <v>5453447</v>
      </c>
      <c r="G18" s="585">
        <v>770625</v>
      </c>
      <c r="H18" s="587">
        <v>770625</v>
      </c>
      <c r="I18" s="475">
        <f>H18-G18</f>
        <v>0</v>
      </c>
      <c r="J18" s="349"/>
      <c r="K18" s="476">
        <f t="shared" si="0"/>
        <v>770625</v>
      </c>
      <c r="L18" s="603">
        <f t="shared" si="1"/>
        <v>0</v>
      </c>
      <c r="M18" s="476">
        <f t="shared" si="2"/>
        <v>770625</v>
      </c>
      <c r="N18" s="478">
        <f t="shared" si="3"/>
        <v>0</v>
      </c>
      <c r="O18" s="475">
        <f t="shared" si="4"/>
        <v>0</v>
      </c>
      <c r="P18" s="243"/>
    </row>
    <row r="19" spans="2:16">
      <c r="B19" s="160" t="str">
        <f>IF(D19=F18,"","IU")</f>
        <v/>
      </c>
      <c r="C19" s="472">
        <f>IF(D11="","-",+C18+1)</f>
        <v>2015</v>
      </c>
      <c r="D19" s="586">
        <v>5453447</v>
      </c>
      <c r="E19" s="585">
        <f t="shared" ref="E19:E72" si="5">IF(+$I$14&lt;F18,$I$14,D19)</f>
        <v>24656</v>
      </c>
      <c r="F19" s="586">
        <v>5433533</v>
      </c>
      <c r="G19" s="585">
        <v>769045</v>
      </c>
      <c r="H19" s="587">
        <v>769045</v>
      </c>
      <c r="I19" s="475">
        <f t="shared" ref="I19:I72" si="6">H19-G19</f>
        <v>0</v>
      </c>
      <c r="J19" s="349"/>
      <c r="K19" s="476">
        <f t="shared" si="0"/>
        <v>769045</v>
      </c>
      <c r="L19" s="603">
        <f t="shared" si="1"/>
        <v>0</v>
      </c>
      <c r="M19" s="476">
        <f t="shared" si="2"/>
        <v>769045</v>
      </c>
      <c r="N19" s="478">
        <f t="shared" si="3"/>
        <v>0</v>
      </c>
      <c r="O19" s="475">
        <f t="shared" si="4"/>
        <v>0</v>
      </c>
      <c r="P19" s="243"/>
    </row>
    <row r="20" spans="2:16">
      <c r="B20" s="160" t="str">
        <f t="shared" ref="B20:B72" si="7">IF(D20=F19,"","IU")</f>
        <v>IU</v>
      </c>
      <c r="C20" s="472">
        <f>IF(D11="","-",+C19+1)</f>
        <v>2016</v>
      </c>
      <c r="D20" s="586">
        <v>906584.91025641025</v>
      </c>
      <c r="E20" s="585">
        <v>19914.461538461539</v>
      </c>
      <c r="F20" s="586">
        <v>886670.44871794875</v>
      </c>
      <c r="G20" s="585">
        <v>136209.46153846153</v>
      </c>
      <c r="H20" s="587">
        <v>136209.46153846153</v>
      </c>
      <c r="I20" s="475">
        <f t="shared" si="6"/>
        <v>0</v>
      </c>
      <c r="J20" s="349"/>
      <c r="K20" s="476">
        <f t="shared" si="0"/>
        <v>136209.46153846153</v>
      </c>
      <c r="L20" s="603">
        <f t="shared" si="1"/>
        <v>0</v>
      </c>
      <c r="M20" s="476">
        <f t="shared" si="2"/>
        <v>136209.46153846153</v>
      </c>
      <c r="N20" s="478">
        <f t="shared" si="3"/>
        <v>0</v>
      </c>
      <c r="O20" s="475">
        <f t="shared" si="4"/>
        <v>0</v>
      </c>
      <c r="P20" s="243"/>
    </row>
    <row r="21" spans="2:16">
      <c r="B21" s="160" t="str">
        <f t="shared" si="7"/>
        <v>IU</v>
      </c>
      <c r="C21" s="472">
        <f>IF(D11="","-",+C20+1)</f>
        <v>2017</v>
      </c>
      <c r="D21" s="586">
        <v>884072.91025641025</v>
      </c>
      <c r="E21" s="585">
        <v>22512</v>
      </c>
      <c r="F21" s="586">
        <v>861560.91025641025</v>
      </c>
      <c r="G21" s="585">
        <v>132155</v>
      </c>
      <c r="H21" s="587">
        <v>132155</v>
      </c>
      <c r="I21" s="475">
        <f t="shared" si="6"/>
        <v>0</v>
      </c>
      <c r="J21" s="349"/>
      <c r="K21" s="476">
        <f t="shared" si="0"/>
        <v>132155</v>
      </c>
      <c r="L21" s="603">
        <f t="shared" si="1"/>
        <v>0</v>
      </c>
      <c r="M21" s="476">
        <f t="shared" si="2"/>
        <v>132155</v>
      </c>
      <c r="N21" s="478">
        <f t="shared" si="3"/>
        <v>0</v>
      </c>
      <c r="O21" s="475">
        <f t="shared" si="4"/>
        <v>0</v>
      </c>
      <c r="P21" s="243"/>
    </row>
    <row r="22" spans="2:16">
      <c r="B22" s="160" t="str">
        <f t="shared" si="7"/>
        <v>IU</v>
      </c>
      <c r="C22" s="472">
        <f>IF(D11="","-",+C21+1)</f>
        <v>2018</v>
      </c>
      <c r="D22" s="586">
        <v>861060.64358974365</v>
      </c>
      <c r="E22" s="585">
        <v>23012.266666666666</v>
      </c>
      <c r="F22" s="586">
        <v>838048.37692307692</v>
      </c>
      <c r="G22" s="585">
        <v>124754.01488848326</v>
      </c>
      <c r="H22" s="587">
        <v>124754.01488848326</v>
      </c>
      <c r="I22" s="475">
        <f t="shared" si="6"/>
        <v>0</v>
      </c>
      <c r="J22" s="349"/>
      <c r="K22" s="476">
        <f t="shared" si="0"/>
        <v>124754.01488848326</v>
      </c>
      <c r="L22" s="603">
        <f t="shared" si="1"/>
        <v>0</v>
      </c>
      <c r="M22" s="476">
        <f t="shared" si="2"/>
        <v>124754.01488848326</v>
      </c>
      <c r="N22" s="478">
        <f t="shared" si="3"/>
        <v>0</v>
      </c>
      <c r="O22" s="475">
        <f t="shared" si="4"/>
        <v>0</v>
      </c>
      <c r="P22" s="243"/>
    </row>
    <row r="23" spans="2:16">
      <c r="B23" s="160" t="str">
        <f t="shared" si="7"/>
        <v>IU</v>
      </c>
      <c r="C23" s="472">
        <f>IF(D11="","-",+C22+1)</f>
        <v>2019</v>
      </c>
      <c r="D23" s="586">
        <v>835171.8435897436</v>
      </c>
      <c r="E23" s="585">
        <v>25888.799999999999</v>
      </c>
      <c r="F23" s="586">
        <v>809283.04358974355</v>
      </c>
      <c r="G23" s="585">
        <v>117695.9465116283</v>
      </c>
      <c r="H23" s="587">
        <v>117695.9465116283</v>
      </c>
      <c r="I23" s="475">
        <f t="shared" si="6"/>
        <v>0</v>
      </c>
      <c r="J23" s="475"/>
      <c r="K23" s="476">
        <f t="shared" ref="K23" si="8">G23</f>
        <v>117695.9465116283</v>
      </c>
      <c r="L23" s="603">
        <f t="shared" ref="L23" si="9">IF(K23&lt;&gt;0,+G23-K23,0)</f>
        <v>0</v>
      </c>
      <c r="M23" s="476">
        <f t="shared" ref="M23" si="10">H23</f>
        <v>117695.9465116283</v>
      </c>
      <c r="N23" s="478">
        <f t="shared" ref="N23:N72" si="11">IF(M23&lt;&gt;0,+H23-M23,0)</f>
        <v>0</v>
      </c>
      <c r="O23" s="478">
        <f t="shared" ref="O23:O72" si="12">+N23-L23</f>
        <v>0</v>
      </c>
      <c r="P23" s="243"/>
    </row>
    <row r="24" spans="2:16">
      <c r="B24" s="160" t="str">
        <f t="shared" si="7"/>
        <v>IU</v>
      </c>
      <c r="C24" s="472">
        <f>IF(D11="","-",+C23+1)</f>
        <v>2020</v>
      </c>
      <c r="D24" s="586">
        <v>815036.1102564102</v>
      </c>
      <c r="E24" s="585">
        <v>24656</v>
      </c>
      <c r="F24" s="586">
        <v>790380.1102564102</v>
      </c>
      <c r="G24" s="585">
        <v>111352.31037205369</v>
      </c>
      <c r="H24" s="587">
        <v>111352.31037205369</v>
      </c>
      <c r="I24" s="475">
        <f t="shared" si="6"/>
        <v>0</v>
      </c>
      <c r="J24" s="475"/>
      <c r="K24" s="476">
        <f t="shared" ref="K24" si="13">G24</f>
        <v>111352.31037205369</v>
      </c>
      <c r="L24" s="603">
        <f t="shared" ref="L24" si="14">IF(K24&lt;&gt;0,+G24-K24,0)</f>
        <v>0</v>
      </c>
      <c r="M24" s="476">
        <f t="shared" ref="M24" si="15">H24</f>
        <v>111352.31037205369</v>
      </c>
      <c r="N24" s="478">
        <f t="shared" si="11"/>
        <v>0</v>
      </c>
      <c r="O24" s="478">
        <f t="shared" si="12"/>
        <v>0</v>
      </c>
      <c r="P24" s="243"/>
    </row>
    <row r="25" spans="2:16">
      <c r="B25" s="160" t="str">
        <f t="shared" si="7"/>
        <v>IU</v>
      </c>
      <c r="C25" s="472">
        <f>IF(D11="","-",+C24+1)</f>
        <v>2021</v>
      </c>
      <c r="D25" s="586">
        <v>786433.23893858085</v>
      </c>
      <c r="E25" s="585">
        <v>24082.60465116279</v>
      </c>
      <c r="F25" s="586">
        <v>762350.6342874181</v>
      </c>
      <c r="G25" s="585">
        <v>106280.60465116279</v>
      </c>
      <c r="H25" s="587">
        <v>106280.60465116279</v>
      </c>
      <c r="I25" s="475">
        <f t="shared" si="6"/>
        <v>0</v>
      </c>
      <c r="J25" s="475"/>
      <c r="K25" s="476">
        <f t="shared" ref="K25" si="16">G25</f>
        <v>106280.60465116279</v>
      </c>
      <c r="L25" s="603">
        <f t="shared" ref="L25" si="17">IF(K25&lt;&gt;0,+G25-K25,0)</f>
        <v>0</v>
      </c>
      <c r="M25" s="476">
        <f t="shared" ref="M25" si="18">H25</f>
        <v>106280.60465116279</v>
      </c>
      <c r="N25" s="478">
        <f t="shared" si="11"/>
        <v>0</v>
      </c>
      <c r="O25" s="478">
        <f t="shared" si="12"/>
        <v>0</v>
      </c>
      <c r="P25" s="243"/>
    </row>
    <row r="26" spans="2:16">
      <c r="B26" s="160" t="str">
        <f t="shared" si="7"/>
        <v>IU</v>
      </c>
      <c r="C26" s="472">
        <f>IF(D11="","-",+C25+1)</f>
        <v>2022</v>
      </c>
      <c r="D26" s="586">
        <v>761777.23893858085</v>
      </c>
      <c r="E26" s="585">
        <v>24656</v>
      </c>
      <c r="F26" s="586">
        <v>737121.23893858085</v>
      </c>
      <c r="G26" s="585">
        <v>104126</v>
      </c>
      <c r="H26" s="587">
        <v>104126</v>
      </c>
      <c r="I26" s="475">
        <f t="shared" si="6"/>
        <v>0</v>
      </c>
      <c r="J26" s="475"/>
      <c r="K26" s="476">
        <f t="shared" ref="K26" si="19">G26</f>
        <v>104126</v>
      </c>
      <c r="L26" s="603">
        <f t="shared" ref="L26" si="20">IF(K26&lt;&gt;0,+G26-K26,0)</f>
        <v>0</v>
      </c>
      <c r="M26" s="476">
        <f t="shared" ref="M26" si="21">H26</f>
        <v>104126</v>
      </c>
      <c r="N26" s="478">
        <f t="shared" si="11"/>
        <v>0</v>
      </c>
      <c r="O26" s="478">
        <f t="shared" si="12"/>
        <v>0</v>
      </c>
      <c r="P26" s="243"/>
    </row>
    <row r="27" spans="2:16">
      <c r="B27" s="160" t="str">
        <f t="shared" si="7"/>
        <v/>
      </c>
      <c r="C27" s="472">
        <f>IF(D11="","-",+C26+1)</f>
        <v>2023</v>
      </c>
      <c r="D27" s="485">
        <f>IF(F26+SUM(E$17:E26)=D$10,F26,D$10-SUM(E$17:E26))</f>
        <v>737121.23893858085</v>
      </c>
      <c r="E27" s="484">
        <f t="shared" si="5"/>
        <v>24656</v>
      </c>
      <c r="F27" s="485">
        <f t="shared" ref="F27:F72" si="22">+D27-E27</f>
        <v>712465.23893858085</v>
      </c>
      <c r="G27" s="486">
        <f t="shared" ref="G27:G72" si="23">(D27+F27)/2*I$12+E27</f>
        <v>102796.86204264154</v>
      </c>
      <c r="H27" s="455">
        <f t="shared" ref="H27:H72" si="24">+(D27+F27)/2*I$13+E27</f>
        <v>102796.86204264154</v>
      </c>
      <c r="I27" s="475">
        <f t="shared" si="6"/>
        <v>0</v>
      </c>
      <c r="J27" s="475"/>
      <c r="K27" s="487"/>
      <c r="L27" s="478">
        <f t="shared" ref="L27:L72" si="25">IF(K27&lt;&gt;0,+G27-K27,0)</f>
        <v>0</v>
      </c>
      <c r="M27" s="487"/>
      <c r="N27" s="478">
        <f t="shared" si="11"/>
        <v>0</v>
      </c>
      <c r="O27" s="478">
        <f t="shared" si="12"/>
        <v>0</v>
      </c>
      <c r="P27" s="243"/>
    </row>
    <row r="28" spans="2:16">
      <c r="B28" s="160" t="str">
        <f t="shared" si="7"/>
        <v/>
      </c>
      <c r="C28" s="472">
        <f>IF(D11="","-",+C27+1)</f>
        <v>2024</v>
      </c>
      <c r="D28" s="485">
        <f>IF(F27+SUM(E$17:E27)=D$10,F27,D$10-SUM(E$17:E27))</f>
        <v>712465.23893858085</v>
      </c>
      <c r="E28" s="484">
        <f t="shared" si="5"/>
        <v>24656</v>
      </c>
      <c r="F28" s="485">
        <f t="shared" si="22"/>
        <v>687809.23893858085</v>
      </c>
      <c r="G28" s="486">
        <f t="shared" si="23"/>
        <v>100138.66796601794</v>
      </c>
      <c r="H28" s="455">
        <f t="shared" si="24"/>
        <v>100138.66796601794</v>
      </c>
      <c r="I28" s="475">
        <f t="shared" si="6"/>
        <v>0</v>
      </c>
      <c r="J28" s="475"/>
      <c r="K28" s="487"/>
      <c r="L28" s="478">
        <f t="shared" si="25"/>
        <v>0</v>
      </c>
      <c r="M28" s="487"/>
      <c r="N28" s="478">
        <f t="shared" si="11"/>
        <v>0</v>
      </c>
      <c r="O28" s="478">
        <f t="shared" si="12"/>
        <v>0</v>
      </c>
      <c r="P28" s="243"/>
    </row>
    <row r="29" spans="2:16">
      <c r="B29" s="160" t="str">
        <f t="shared" si="7"/>
        <v/>
      </c>
      <c r="C29" s="472">
        <f>IF(D11="","-",+C28+1)</f>
        <v>2025</v>
      </c>
      <c r="D29" s="485">
        <f>IF(F28+SUM(E$17:E28)=D$10,F28,D$10-SUM(E$17:E28))</f>
        <v>687809.23893858085</v>
      </c>
      <c r="E29" s="484">
        <f t="shared" si="5"/>
        <v>24656</v>
      </c>
      <c r="F29" s="485">
        <f t="shared" si="22"/>
        <v>663153.23893858085</v>
      </c>
      <c r="G29" s="486">
        <f t="shared" si="23"/>
        <v>97480.473889394343</v>
      </c>
      <c r="H29" s="455">
        <f t="shared" si="24"/>
        <v>97480.473889394343</v>
      </c>
      <c r="I29" s="475">
        <f t="shared" si="6"/>
        <v>0</v>
      </c>
      <c r="J29" s="475"/>
      <c r="K29" s="487"/>
      <c r="L29" s="478">
        <f t="shared" si="25"/>
        <v>0</v>
      </c>
      <c r="M29" s="487"/>
      <c r="N29" s="478">
        <f t="shared" si="11"/>
        <v>0</v>
      </c>
      <c r="O29" s="478">
        <f t="shared" si="12"/>
        <v>0</v>
      </c>
      <c r="P29" s="243"/>
    </row>
    <row r="30" spans="2:16">
      <c r="B30" s="160" t="str">
        <f t="shared" si="7"/>
        <v/>
      </c>
      <c r="C30" s="472">
        <f>IF(D11="","-",+C29+1)</f>
        <v>2026</v>
      </c>
      <c r="D30" s="485">
        <f>IF(F29+SUM(E$17:E29)=D$10,F29,D$10-SUM(E$17:E29))</f>
        <v>663153.23893858085</v>
      </c>
      <c r="E30" s="484">
        <f t="shared" si="5"/>
        <v>24656</v>
      </c>
      <c r="F30" s="485">
        <f t="shared" si="22"/>
        <v>638497.23893858085</v>
      </c>
      <c r="G30" s="486">
        <f t="shared" si="23"/>
        <v>94822.279812770736</v>
      </c>
      <c r="H30" s="455">
        <f t="shared" si="24"/>
        <v>94822.279812770736</v>
      </c>
      <c r="I30" s="475">
        <f t="shared" si="6"/>
        <v>0</v>
      </c>
      <c r="J30" s="475"/>
      <c r="K30" s="487"/>
      <c r="L30" s="478">
        <f t="shared" si="25"/>
        <v>0</v>
      </c>
      <c r="M30" s="487"/>
      <c r="N30" s="478">
        <f t="shared" si="11"/>
        <v>0</v>
      </c>
      <c r="O30" s="478">
        <f t="shared" si="12"/>
        <v>0</v>
      </c>
      <c r="P30" s="243"/>
    </row>
    <row r="31" spans="2:16">
      <c r="B31" s="160" t="str">
        <f t="shared" si="7"/>
        <v/>
      </c>
      <c r="C31" s="472">
        <f>IF(D11="","-",+C30+1)</f>
        <v>2027</v>
      </c>
      <c r="D31" s="485">
        <f>IF(F30+SUM(E$17:E30)=D$10,F30,D$10-SUM(E$17:E30))</f>
        <v>638497.23893858085</v>
      </c>
      <c r="E31" s="484">
        <f t="shared" si="5"/>
        <v>24656</v>
      </c>
      <c r="F31" s="485">
        <f t="shared" si="22"/>
        <v>613841.23893858085</v>
      </c>
      <c r="G31" s="486">
        <f t="shared" si="23"/>
        <v>92164.085736147143</v>
      </c>
      <c r="H31" s="455">
        <f t="shared" si="24"/>
        <v>92164.085736147143</v>
      </c>
      <c r="I31" s="475">
        <f t="shared" si="6"/>
        <v>0</v>
      </c>
      <c r="J31" s="475"/>
      <c r="K31" s="487"/>
      <c r="L31" s="478">
        <f t="shared" si="25"/>
        <v>0</v>
      </c>
      <c r="M31" s="487"/>
      <c r="N31" s="478">
        <f t="shared" si="11"/>
        <v>0</v>
      </c>
      <c r="O31" s="478">
        <f t="shared" si="12"/>
        <v>0</v>
      </c>
      <c r="P31" s="243"/>
    </row>
    <row r="32" spans="2:16">
      <c r="B32" s="160" t="str">
        <f t="shared" si="7"/>
        <v/>
      </c>
      <c r="C32" s="472">
        <f>IF(D11="","-",+C31+1)</f>
        <v>2028</v>
      </c>
      <c r="D32" s="485">
        <f>IF(F31+SUM(E$17:E31)=D$10,F31,D$10-SUM(E$17:E31))</f>
        <v>613841.23893858085</v>
      </c>
      <c r="E32" s="484">
        <f t="shared" si="5"/>
        <v>24656</v>
      </c>
      <c r="F32" s="485">
        <f t="shared" si="22"/>
        <v>589185.23893858085</v>
      </c>
      <c r="G32" s="486">
        <f t="shared" si="23"/>
        <v>89505.891659523535</v>
      </c>
      <c r="H32" s="455">
        <f t="shared" si="24"/>
        <v>89505.891659523535</v>
      </c>
      <c r="I32" s="475">
        <f t="shared" si="6"/>
        <v>0</v>
      </c>
      <c r="J32" s="475"/>
      <c r="K32" s="487"/>
      <c r="L32" s="478">
        <f t="shared" si="25"/>
        <v>0</v>
      </c>
      <c r="M32" s="487"/>
      <c r="N32" s="478">
        <f t="shared" si="11"/>
        <v>0</v>
      </c>
      <c r="O32" s="478">
        <f t="shared" si="12"/>
        <v>0</v>
      </c>
      <c r="P32" s="243"/>
    </row>
    <row r="33" spans="2:16">
      <c r="B33" s="160" t="str">
        <f t="shared" si="7"/>
        <v/>
      </c>
      <c r="C33" s="472">
        <f>IF(D11="","-",+C32+1)</f>
        <v>2029</v>
      </c>
      <c r="D33" s="485">
        <f>IF(F32+SUM(E$17:E32)=D$10,F32,D$10-SUM(E$17:E32))</f>
        <v>589185.23893858085</v>
      </c>
      <c r="E33" s="484">
        <f t="shared" si="5"/>
        <v>24656</v>
      </c>
      <c r="F33" s="485">
        <f t="shared" si="22"/>
        <v>564529.23893858085</v>
      </c>
      <c r="G33" s="486">
        <f t="shared" si="23"/>
        <v>86847.697582899942</v>
      </c>
      <c r="H33" s="455">
        <f t="shared" si="24"/>
        <v>86847.697582899942</v>
      </c>
      <c r="I33" s="475">
        <f t="shared" si="6"/>
        <v>0</v>
      </c>
      <c r="J33" s="475"/>
      <c r="K33" s="487"/>
      <c r="L33" s="478">
        <f t="shared" si="25"/>
        <v>0</v>
      </c>
      <c r="M33" s="487"/>
      <c r="N33" s="478">
        <f t="shared" si="11"/>
        <v>0</v>
      </c>
      <c r="O33" s="478">
        <f t="shared" si="12"/>
        <v>0</v>
      </c>
      <c r="P33" s="243"/>
    </row>
    <row r="34" spans="2:16">
      <c r="B34" s="160" t="str">
        <f t="shared" si="7"/>
        <v/>
      </c>
      <c r="C34" s="472">
        <f>IF(D11="","-",+C33+1)</f>
        <v>2030</v>
      </c>
      <c r="D34" s="485">
        <f>IF(F33+SUM(E$17:E33)=D$10,F33,D$10-SUM(E$17:E33))</f>
        <v>564529.23893858085</v>
      </c>
      <c r="E34" s="484">
        <f t="shared" si="5"/>
        <v>24656</v>
      </c>
      <c r="F34" s="485">
        <f t="shared" si="22"/>
        <v>539873.23893858085</v>
      </c>
      <c r="G34" s="486">
        <f t="shared" si="23"/>
        <v>84189.503506276335</v>
      </c>
      <c r="H34" s="455">
        <f t="shared" si="24"/>
        <v>84189.503506276335</v>
      </c>
      <c r="I34" s="475">
        <f t="shared" si="6"/>
        <v>0</v>
      </c>
      <c r="J34" s="475"/>
      <c r="K34" s="487"/>
      <c r="L34" s="478">
        <f t="shared" si="25"/>
        <v>0</v>
      </c>
      <c r="M34" s="487"/>
      <c r="N34" s="478">
        <f t="shared" si="11"/>
        <v>0</v>
      </c>
      <c r="O34" s="478">
        <f t="shared" si="12"/>
        <v>0</v>
      </c>
      <c r="P34" s="243"/>
    </row>
    <row r="35" spans="2:16">
      <c r="B35" s="160" t="str">
        <f t="shared" si="7"/>
        <v/>
      </c>
      <c r="C35" s="472">
        <f>IF(D11="","-",+C34+1)</f>
        <v>2031</v>
      </c>
      <c r="D35" s="485">
        <f>IF(F34+SUM(E$17:E34)=D$10,F34,D$10-SUM(E$17:E34))</f>
        <v>539873.23893858085</v>
      </c>
      <c r="E35" s="484">
        <f t="shared" si="5"/>
        <v>24656</v>
      </c>
      <c r="F35" s="485">
        <f t="shared" si="22"/>
        <v>515217.23893858085</v>
      </c>
      <c r="G35" s="486">
        <f t="shared" si="23"/>
        <v>81531.309429652727</v>
      </c>
      <c r="H35" s="455">
        <f t="shared" si="24"/>
        <v>81531.309429652727</v>
      </c>
      <c r="I35" s="475">
        <f t="shared" si="6"/>
        <v>0</v>
      </c>
      <c r="J35" s="475"/>
      <c r="K35" s="487"/>
      <c r="L35" s="478">
        <f t="shared" si="25"/>
        <v>0</v>
      </c>
      <c r="M35" s="487"/>
      <c r="N35" s="478">
        <f t="shared" si="11"/>
        <v>0</v>
      </c>
      <c r="O35" s="478">
        <f t="shared" si="12"/>
        <v>0</v>
      </c>
      <c r="P35" s="243"/>
    </row>
    <row r="36" spans="2:16">
      <c r="B36" s="160" t="str">
        <f t="shared" si="7"/>
        <v/>
      </c>
      <c r="C36" s="472">
        <f>IF(D11="","-",+C35+1)</f>
        <v>2032</v>
      </c>
      <c r="D36" s="485">
        <f>IF(F35+SUM(E$17:E35)=D$10,F35,D$10-SUM(E$17:E35))</f>
        <v>515217.23893858085</v>
      </c>
      <c r="E36" s="484">
        <f t="shared" si="5"/>
        <v>24656</v>
      </c>
      <c r="F36" s="485">
        <f t="shared" si="22"/>
        <v>490561.23893858085</v>
      </c>
      <c r="G36" s="486">
        <f t="shared" si="23"/>
        <v>78873.115353029134</v>
      </c>
      <c r="H36" s="455">
        <f t="shared" si="24"/>
        <v>78873.115353029134</v>
      </c>
      <c r="I36" s="475">
        <f t="shared" si="6"/>
        <v>0</v>
      </c>
      <c r="J36" s="475"/>
      <c r="K36" s="487"/>
      <c r="L36" s="478">
        <f t="shared" si="25"/>
        <v>0</v>
      </c>
      <c r="M36" s="487"/>
      <c r="N36" s="478">
        <f t="shared" si="11"/>
        <v>0</v>
      </c>
      <c r="O36" s="478">
        <f t="shared" si="12"/>
        <v>0</v>
      </c>
      <c r="P36" s="243"/>
    </row>
    <row r="37" spans="2:16">
      <c r="B37" s="160" t="str">
        <f t="shared" si="7"/>
        <v/>
      </c>
      <c r="C37" s="472">
        <f>IF(D11="","-",+C36+1)</f>
        <v>2033</v>
      </c>
      <c r="D37" s="485">
        <f>IF(F36+SUM(E$17:E36)=D$10,F36,D$10-SUM(E$17:E36))</f>
        <v>490561.23893858085</v>
      </c>
      <c r="E37" s="484">
        <f t="shared" si="5"/>
        <v>24656</v>
      </c>
      <c r="F37" s="485">
        <f t="shared" si="22"/>
        <v>465905.23893858085</v>
      </c>
      <c r="G37" s="486">
        <f t="shared" si="23"/>
        <v>76214.921276405541</v>
      </c>
      <c r="H37" s="455">
        <f t="shared" si="24"/>
        <v>76214.921276405541</v>
      </c>
      <c r="I37" s="475">
        <f t="shared" si="6"/>
        <v>0</v>
      </c>
      <c r="J37" s="475"/>
      <c r="K37" s="487"/>
      <c r="L37" s="478">
        <f t="shared" si="25"/>
        <v>0</v>
      </c>
      <c r="M37" s="487"/>
      <c r="N37" s="478">
        <f t="shared" si="11"/>
        <v>0</v>
      </c>
      <c r="O37" s="478">
        <f t="shared" si="12"/>
        <v>0</v>
      </c>
      <c r="P37" s="243"/>
    </row>
    <row r="38" spans="2:16">
      <c r="B38" s="160" t="str">
        <f t="shared" si="7"/>
        <v/>
      </c>
      <c r="C38" s="472">
        <f>IF(D11="","-",+C37+1)</f>
        <v>2034</v>
      </c>
      <c r="D38" s="485">
        <f>IF(F37+SUM(E$17:E37)=D$10,F37,D$10-SUM(E$17:E37))</f>
        <v>465905.23893858085</v>
      </c>
      <c r="E38" s="484">
        <f t="shared" si="5"/>
        <v>24656</v>
      </c>
      <c r="F38" s="485">
        <f t="shared" si="22"/>
        <v>441249.23893858085</v>
      </c>
      <c r="G38" s="486">
        <f t="shared" si="23"/>
        <v>73556.727199781933</v>
      </c>
      <c r="H38" s="455">
        <f t="shared" si="24"/>
        <v>73556.727199781933</v>
      </c>
      <c r="I38" s="475">
        <f t="shared" si="6"/>
        <v>0</v>
      </c>
      <c r="J38" s="475"/>
      <c r="K38" s="487"/>
      <c r="L38" s="478">
        <f t="shared" si="25"/>
        <v>0</v>
      </c>
      <c r="M38" s="487"/>
      <c r="N38" s="478">
        <f t="shared" si="11"/>
        <v>0</v>
      </c>
      <c r="O38" s="478">
        <f t="shared" si="12"/>
        <v>0</v>
      </c>
      <c r="P38" s="243"/>
    </row>
    <row r="39" spans="2:16">
      <c r="B39" s="160" t="str">
        <f t="shared" si="7"/>
        <v/>
      </c>
      <c r="C39" s="472">
        <f>IF(D11="","-",+C38+1)</f>
        <v>2035</v>
      </c>
      <c r="D39" s="485">
        <f>IF(F38+SUM(E$17:E38)=D$10,F38,D$10-SUM(E$17:E38))</f>
        <v>441249.23893858085</v>
      </c>
      <c r="E39" s="484">
        <f t="shared" si="5"/>
        <v>24656</v>
      </c>
      <c r="F39" s="485">
        <f t="shared" si="22"/>
        <v>416593.23893858085</v>
      </c>
      <c r="G39" s="486">
        <f t="shared" si="23"/>
        <v>70898.533123158326</v>
      </c>
      <c r="H39" s="455">
        <f t="shared" si="24"/>
        <v>70898.533123158326</v>
      </c>
      <c r="I39" s="475">
        <f t="shared" si="6"/>
        <v>0</v>
      </c>
      <c r="J39" s="475"/>
      <c r="K39" s="487"/>
      <c r="L39" s="478">
        <f t="shared" si="25"/>
        <v>0</v>
      </c>
      <c r="M39" s="487"/>
      <c r="N39" s="478">
        <f t="shared" si="11"/>
        <v>0</v>
      </c>
      <c r="O39" s="478">
        <f t="shared" si="12"/>
        <v>0</v>
      </c>
      <c r="P39" s="243"/>
    </row>
    <row r="40" spans="2:16">
      <c r="B40" s="160" t="str">
        <f t="shared" si="7"/>
        <v/>
      </c>
      <c r="C40" s="472">
        <f>IF(D11="","-",+C39+1)</f>
        <v>2036</v>
      </c>
      <c r="D40" s="485">
        <f>IF(F39+SUM(E$17:E39)=D$10,F39,D$10-SUM(E$17:E39))</f>
        <v>416593.23893858085</v>
      </c>
      <c r="E40" s="484">
        <f t="shared" si="5"/>
        <v>24656</v>
      </c>
      <c r="F40" s="485">
        <f t="shared" si="22"/>
        <v>391937.23893858085</v>
      </c>
      <c r="G40" s="486">
        <f t="shared" si="23"/>
        <v>68240.339046534733</v>
      </c>
      <c r="H40" s="455">
        <f t="shared" si="24"/>
        <v>68240.339046534733</v>
      </c>
      <c r="I40" s="475">
        <f t="shared" si="6"/>
        <v>0</v>
      </c>
      <c r="J40" s="475"/>
      <c r="K40" s="487"/>
      <c r="L40" s="478">
        <f t="shared" si="25"/>
        <v>0</v>
      </c>
      <c r="M40" s="487"/>
      <c r="N40" s="478">
        <f t="shared" si="11"/>
        <v>0</v>
      </c>
      <c r="O40" s="478">
        <f t="shared" si="12"/>
        <v>0</v>
      </c>
      <c r="P40" s="243"/>
    </row>
    <row r="41" spans="2:16">
      <c r="B41" s="160" t="str">
        <f t="shared" si="7"/>
        <v/>
      </c>
      <c r="C41" s="472">
        <f>IF(D11="","-",+C40+1)</f>
        <v>2037</v>
      </c>
      <c r="D41" s="485">
        <f>IF(F40+SUM(E$17:E40)=D$10,F40,D$10-SUM(E$17:E40))</f>
        <v>391937.23893858085</v>
      </c>
      <c r="E41" s="484">
        <f t="shared" si="5"/>
        <v>24656</v>
      </c>
      <c r="F41" s="485">
        <f t="shared" si="22"/>
        <v>367281.23893858085</v>
      </c>
      <c r="G41" s="486">
        <f t="shared" si="23"/>
        <v>65582.14496991114</v>
      </c>
      <c r="H41" s="455">
        <f t="shared" si="24"/>
        <v>65582.14496991114</v>
      </c>
      <c r="I41" s="475">
        <f t="shared" si="6"/>
        <v>0</v>
      </c>
      <c r="J41" s="475"/>
      <c r="K41" s="487"/>
      <c r="L41" s="478">
        <f t="shared" si="25"/>
        <v>0</v>
      </c>
      <c r="M41" s="487"/>
      <c r="N41" s="478">
        <f t="shared" si="11"/>
        <v>0</v>
      </c>
      <c r="O41" s="478">
        <f t="shared" si="12"/>
        <v>0</v>
      </c>
      <c r="P41" s="243"/>
    </row>
    <row r="42" spans="2:16">
      <c r="B42" s="160" t="str">
        <f t="shared" si="7"/>
        <v/>
      </c>
      <c r="C42" s="472">
        <f>IF(D11="","-",+C41+1)</f>
        <v>2038</v>
      </c>
      <c r="D42" s="485">
        <f>IF(F41+SUM(E$17:E41)=D$10,F41,D$10-SUM(E$17:E41))</f>
        <v>367281.23893858085</v>
      </c>
      <c r="E42" s="484">
        <f t="shared" si="5"/>
        <v>24656</v>
      </c>
      <c r="F42" s="485">
        <f t="shared" si="22"/>
        <v>342625.23893858085</v>
      </c>
      <c r="G42" s="486">
        <f t="shared" si="23"/>
        <v>62923.950893287525</v>
      </c>
      <c r="H42" s="455">
        <f t="shared" si="24"/>
        <v>62923.950893287525</v>
      </c>
      <c r="I42" s="475">
        <f t="shared" si="6"/>
        <v>0</v>
      </c>
      <c r="J42" s="475"/>
      <c r="K42" s="487"/>
      <c r="L42" s="478">
        <f t="shared" si="25"/>
        <v>0</v>
      </c>
      <c r="M42" s="487"/>
      <c r="N42" s="478">
        <f t="shared" si="11"/>
        <v>0</v>
      </c>
      <c r="O42" s="478">
        <f t="shared" si="12"/>
        <v>0</v>
      </c>
      <c r="P42" s="243"/>
    </row>
    <row r="43" spans="2:16">
      <c r="B43" s="160" t="str">
        <f t="shared" si="7"/>
        <v/>
      </c>
      <c r="C43" s="472">
        <f>IF(D11="","-",+C42+1)</f>
        <v>2039</v>
      </c>
      <c r="D43" s="485">
        <f>IF(F42+SUM(E$17:E42)=D$10,F42,D$10-SUM(E$17:E42))</f>
        <v>342625.23893858085</v>
      </c>
      <c r="E43" s="484">
        <f t="shared" si="5"/>
        <v>24656</v>
      </c>
      <c r="F43" s="485">
        <f t="shared" si="22"/>
        <v>317969.23893858085</v>
      </c>
      <c r="G43" s="486">
        <f t="shared" si="23"/>
        <v>60265.756816663925</v>
      </c>
      <c r="H43" s="455">
        <f t="shared" si="24"/>
        <v>60265.756816663925</v>
      </c>
      <c r="I43" s="475">
        <f t="shared" si="6"/>
        <v>0</v>
      </c>
      <c r="J43" s="475"/>
      <c r="K43" s="487"/>
      <c r="L43" s="478">
        <f t="shared" si="25"/>
        <v>0</v>
      </c>
      <c r="M43" s="487"/>
      <c r="N43" s="478">
        <f t="shared" si="11"/>
        <v>0</v>
      </c>
      <c r="O43" s="478">
        <f t="shared" si="12"/>
        <v>0</v>
      </c>
      <c r="P43" s="243"/>
    </row>
    <row r="44" spans="2:16">
      <c r="B44" s="160" t="str">
        <f t="shared" si="7"/>
        <v/>
      </c>
      <c r="C44" s="472">
        <f>IF(D11="","-",+C43+1)</f>
        <v>2040</v>
      </c>
      <c r="D44" s="485">
        <f>IF(F43+SUM(E$17:E43)=D$10,F43,D$10-SUM(E$17:E43))</f>
        <v>317969.23893858085</v>
      </c>
      <c r="E44" s="484">
        <f t="shared" si="5"/>
        <v>24656</v>
      </c>
      <c r="F44" s="485">
        <f t="shared" si="22"/>
        <v>293313.23893858085</v>
      </c>
      <c r="G44" s="486">
        <f t="shared" si="23"/>
        <v>57607.562740040325</v>
      </c>
      <c r="H44" s="455">
        <f t="shared" si="24"/>
        <v>57607.562740040325</v>
      </c>
      <c r="I44" s="475">
        <f t="shared" si="6"/>
        <v>0</v>
      </c>
      <c r="J44" s="475"/>
      <c r="K44" s="487"/>
      <c r="L44" s="478">
        <f t="shared" si="25"/>
        <v>0</v>
      </c>
      <c r="M44" s="487"/>
      <c r="N44" s="478">
        <f t="shared" si="11"/>
        <v>0</v>
      </c>
      <c r="O44" s="478">
        <f t="shared" si="12"/>
        <v>0</v>
      </c>
      <c r="P44" s="243"/>
    </row>
    <row r="45" spans="2:16">
      <c r="B45" s="160" t="str">
        <f t="shared" si="7"/>
        <v/>
      </c>
      <c r="C45" s="472">
        <f>IF(D11="","-",+C44+1)</f>
        <v>2041</v>
      </c>
      <c r="D45" s="485">
        <f>IF(F44+SUM(E$17:E44)=D$10,F44,D$10-SUM(E$17:E44))</f>
        <v>293313.23893858085</v>
      </c>
      <c r="E45" s="484">
        <f t="shared" si="5"/>
        <v>24656</v>
      </c>
      <c r="F45" s="485">
        <f t="shared" si="22"/>
        <v>268657.23893858085</v>
      </c>
      <c r="G45" s="486">
        <f t="shared" si="23"/>
        <v>54949.368663416724</v>
      </c>
      <c r="H45" s="455">
        <f t="shared" si="24"/>
        <v>54949.368663416724</v>
      </c>
      <c r="I45" s="475">
        <f t="shared" si="6"/>
        <v>0</v>
      </c>
      <c r="J45" s="475"/>
      <c r="K45" s="487"/>
      <c r="L45" s="478">
        <f t="shared" si="25"/>
        <v>0</v>
      </c>
      <c r="M45" s="487"/>
      <c r="N45" s="478">
        <f t="shared" si="11"/>
        <v>0</v>
      </c>
      <c r="O45" s="478">
        <f t="shared" si="12"/>
        <v>0</v>
      </c>
      <c r="P45" s="243"/>
    </row>
    <row r="46" spans="2:16">
      <c r="B46" s="160" t="str">
        <f t="shared" si="7"/>
        <v/>
      </c>
      <c r="C46" s="472">
        <f>IF(D11="","-",+C45+1)</f>
        <v>2042</v>
      </c>
      <c r="D46" s="485">
        <f>IF(F45+SUM(E$17:E45)=D$10,F45,D$10-SUM(E$17:E45))</f>
        <v>268657.23893858085</v>
      </c>
      <c r="E46" s="484">
        <f t="shared" si="5"/>
        <v>24656</v>
      </c>
      <c r="F46" s="485">
        <f t="shared" si="22"/>
        <v>244001.23893858085</v>
      </c>
      <c r="G46" s="486">
        <f t="shared" si="23"/>
        <v>52291.174586793124</v>
      </c>
      <c r="H46" s="455">
        <f t="shared" si="24"/>
        <v>52291.174586793124</v>
      </c>
      <c r="I46" s="475">
        <f t="shared" si="6"/>
        <v>0</v>
      </c>
      <c r="J46" s="475"/>
      <c r="K46" s="487"/>
      <c r="L46" s="478">
        <f t="shared" si="25"/>
        <v>0</v>
      </c>
      <c r="M46" s="487"/>
      <c r="N46" s="478">
        <f t="shared" si="11"/>
        <v>0</v>
      </c>
      <c r="O46" s="478">
        <f t="shared" si="12"/>
        <v>0</v>
      </c>
      <c r="P46" s="243"/>
    </row>
    <row r="47" spans="2:16">
      <c r="B47" s="160" t="str">
        <f t="shared" si="7"/>
        <v/>
      </c>
      <c r="C47" s="472">
        <f>IF(D11="","-",+C46+1)</f>
        <v>2043</v>
      </c>
      <c r="D47" s="485">
        <f>IF(F46+SUM(E$17:E46)=D$10,F46,D$10-SUM(E$17:E46))</f>
        <v>244001.23893858085</v>
      </c>
      <c r="E47" s="484">
        <f t="shared" si="5"/>
        <v>24656</v>
      </c>
      <c r="F47" s="485">
        <f t="shared" si="22"/>
        <v>219345.23893858085</v>
      </c>
      <c r="G47" s="486">
        <f t="shared" si="23"/>
        <v>49632.980510169524</v>
      </c>
      <c r="H47" s="455">
        <f t="shared" si="24"/>
        <v>49632.980510169524</v>
      </c>
      <c r="I47" s="475">
        <f t="shared" si="6"/>
        <v>0</v>
      </c>
      <c r="J47" s="475"/>
      <c r="K47" s="487"/>
      <c r="L47" s="478">
        <f t="shared" si="25"/>
        <v>0</v>
      </c>
      <c r="M47" s="487"/>
      <c r="N47" s="478">
        <f t="shared" si="11"/>
        <v>0</v>
      </c>
      <c r="O47" s="478">
        <f t="shared" si="12"/>
        <v>0</v>
      </c>
      <c r="P47" s="243"/>
    </row>
    <row r="48" spans="2:16">
      <c r="B48" s="160" t="str">
        <f t="shared" si="7"/>
        <v/>
      </c>
      <c r="C48" s="472">
        <f>IF(D11="","-",+C47+1)</f>
        <v>2044</v>
      </c>
      <c r="D48" s="485">
        <f>IF(F47+SUM(E$17:E47)=D$10,F47,D$10-SUM(E$17:E47))</f>
        <v>219345.23893858085</v>
      </c>
      <c r="E48" s="484">
        <f t="shared" si="5"/>
        <v>24656</v>
      </c>
      <c r="F48" s="485">
        <f t="shared" si="22"/>
        <v>194689.23893858085</v>
      </c>
      <c r="G48" s="486">
        <f t="shared" si="23"/>
        <v>46974.786433545924</v>
      </c>
      <c r="H48" s="455">
        <f t="shared" si="24"/>
        <v>46974.786433545924</v>
      </c>
      <c r="I48" s="475">
        <f t="shared" si="6"/>
        <v>0</v>
      </c>
      <c r="J48" s="475"/>
      <c r="K48" s="487"/>
      <c r="L48" s="478">
        <f t="shared" si="25"/>
        <v>0</v>
      </c>
      <c r="M48" s="487"/>
      <c r="N48" s="478">
        <f t="shared" si="11"/>
        <v>0</v>
      </c>
      <c r="O48" s="478">
        <f t="shared" si="12"/>
        <v>0</v>
      </c>
      <c r="P48" s="243"/>
    </row>
    <row r="49" spans="2:16">
      <c r="B49" s="160" t="str">
        <f t="shared" si="7"/>
        <v/>
      </c>
      <c r="C49" s="472">
        <f>IF(D11="","-",+C48+1)</f>
        <v>2045</v>
      </c>
      <c r="D49" s="485">
        <f>IF(F48+SUM(E$17:E48)=D$10,F48,D$10-SUM(E$17:E48))</f>
        <v>194689.23893858085</v>
      </c>
      <c r="E49" s="484">
        <f t="shared" si="5"/>
        <v>24656</v>
      </c>
      <c r="F49" s="485">
        <f t="shared" si="22"/>
        <v>170033.23893858085</v>
      </c>
      <c r="G49" s="486">
        <f t="shared" si="23"/>
        <v>44316.592356922323</v>
      </c>
      <c r="H49" s="455">
        <f t="shared" si="24"/>
        <v>44316.592356922323</v>
      </c>
      <c r="I49" s="475">
        <f t="shared" si="6"/>
        <v>0</v>
      </c>
      <c r="J49" s="475"/>
      <c r="K49" s="487"/>
      <c r="L49" s="478">
        <f t="shared" si="25"/>
        <v>0</v>
      </c>
      <c r="M49" s="487"/>
      <c r="N49" s="478">
        <f t="shared" si="11"/>
        <v>0</v>
      </c>
      <c r="O49" s="478">
        <f t="shared" si="12"/>
        <v>0</v>
      </c>
      <c r="P49" s="243"/>
    </row>
    <row r="50" spans="2:16">
      <c r="B50" s="160" t="str">
        <f t="shared" si="7"/>
        <v/>
      </c>
      <c r="C50" s="472">
        <f>IF(D11="","-",+C49+1)</f>
        <v>2046</v>
      </c>
      <c r="D50" s="485">
        <f>IF(F49+SUM(E$17:E49)=D$10,F49,D$10-SUM(E$17:E49))</f>
        <v>170033.23893858085</v>
      </c>
      <c r="E50" s="484">
        <f t="shared" si="5"/>
        <v>24656</v>
      </c>
      <c r="F50" s="485">
        <f t="shared" si="22"/>
        <v>145377.23893858085</v>
      </c>
      <c r="G50" s="486">
        <f t="shared" si="23"/>
        <v>41658.398280298723</v>
      </c>
      <c r="H50" s="455">
        <f t="shared" si="24"/>
        <v>41658.398280298723</v>
      </c>
      <c r="I50" s="475">
        <f t="shared" si="6"/>
        <v>0</v>
      </c>
      <c r="J50" s="475"/>
      <c r="K50" s="487"/>
      <c r="L50" s="478">
        <f t="shared" si="25"/>
        <v>0</v>
      </c>
      <c r="M50" s="487"/>
      <c r="N50" s="478">
        <f t="shared" si="11"/>
        <v>0</v>
      </c>
      <c r="O50" s="478">
        <f t="shared" si="12"/>
        <v>0</v>
      </c>
      <c r="P50" s="243"/>
    </row>
    <row r="51" spans="2:16">
      <c r="B51" s="160" t="str">
        <f t="shared" si="7"/>
        <v/>
      </c>
      <c r="C51" s="472">
        <f>IF(D11="","-",+C50+1)</f>
        <v>2047</v>
      </c>
      <c r="D51" s="485">
        <f>IF(F50+SUM(E$17:E50)=D$10,F50,D$10-SUM(E$17:E50))</f>
        <v>145377.23893858085</v>
      </c>
      <c r="E51" s="484">
        <f t="shared" si="5"/>
        <v>24656</v>
      </c>
      <c r="F51" s="485">
        <f t="shared" si="22"/>
        <v>120721.23893858085</v>
      </c>
      <c r="G51" s="486">
        <f t="shared" si="23"/>
        <v>39000.204203675123</v>
      </c>
      <c r="H51" s="455">
        <f t="shared" si="24"/>
        <v>39000.204203675123</v>
      </c>
      <c r="I51" s="475">
        <f t="shared" si="6"/>
        <v>0</v>
      </c>
      <c r="J51" s="475"/>
      <c r="K51" s="487"/>
      <c r="L51" s="478">
        <f t="shared" si="25"/>
        <v>0</v>
      </c>
      <c r="M51" s="487"/>
      <c r="N51" s="478">
        <f t="shared" si="11"/>
        <v>0</v>
      </c>
      <c r="O51" s="478">
        <f t="shared" si="12"/>
        <v>0</v>
      </c>
      <c r="P51" s="243"/>
    </row>
    <row r="52" spans="2:16">
      <c r="B52" s="160" t="str">
        <f t="shared" si="7"/>
        <v/>
      </c>
      <c r="C52" s="472">
        <f>IF(D11="","-",+C51+1)</f>
        <v>2048</v>
      </c>
      <c r="D52" s="485">
        <f>IF(F51+SUM(E$17:E51)=D$10,F51,D$10-SUM(E$17:E51))</f>
        <v>120721.23893858085</v>
      </c>
      <c r="E52" s="484">
        <f t="shared" si="5"/>
        <v>24656</v>
      </c>
      <c r="F52" s="485">
        <f t="shared" si="22"/>
        <v>96065.238938580849</v>
      </c>
      <c r="G52" s="486">
        <f t="shared" si="23"/>
        <v>36342.010127051515</v>
      </c>
      <c r="H52" s="455">
        <f t="shared" si="24"/>
        <v>36342.010127051515</v>
      </c>
      <c r="I52" s="475">
        <f t="shared" si="6"/>
        <v>0</v>
      </c>
      <c r="J52" s="475"/>
      <c r="K52" s="487"/>
      <c r="L52" s="478">
        <f t="shared" si="25"/>
        <v>0</v>
      </c>
      <c r="M52" s="487"/>
      <c r="N52" s="478">
        <f t="shared" si="11"/>
        <v>0</v>
      </c>
      <c r="O52" s="478">
        <f t="shared" si="12"/>
        <v>0</v>
      </c>
      <c r="P52" s="243"/>
    </row>
    <row r="53" spans="2:16">
      <c r="B53" s="160" t="str">
        <f t="shared" si="7"/>
        <v/>
      </c>
      <c r="C53" s="472">
        <f>IF(D11="","-",+C52+1)</f>
        <v>2049</v>
      </c>
      <c r="D53" s="485">
        <f>IF(F52+SUM(E$17:E52)=D$10,F52,D$10-SUM(E$17:E52))</f>
        <v>96065.238938580849</v>
      </c>
      <c r="E53" s="484">
        <f t="shared" si="5"/>
        <v>24656</v>
      </c>
      <c r="F53" s="485">
        <f t="shared" si="22"/>
        <v>71409.238938580849</v>
      </c>
      <c r="G53" s="486">
        <f t="shared" si="23"/>
        <v>33683.816050427922</v>
      </c>
      <c r="H53" s="455">
        <f t="shared" si="24"/>
        <v>33683.816050427922</v>
      </c>
      <c r="I53" s="475">
        <f t="shared" si="6"/>
        <v>0</v>
      </c>
      <c r="J53" s="475"/>
      <c r="K53" s="487"/>
      <c r="L53" s="478">
        <f t="shared" si="25"/>
        <v>0</v>
      </c>
      <c r="M53" s="487"/>
      <c r="N53" s="478">
        <f t="shared" si="11"/>
        <v>0</v>
      </c>
      <c r="O53" s="478">
        <f t="shared" si="12"/>
        <v>0</v>
      </c>
      <c r="P53" s="243"/>
    </row>
    <row r="54" spans="2:16">
      <c r="B54" s="160" t="str">
        <f t="shared" si="7"/>
        <v/>
      </c>
      <c r="C54" s="472">
        <f>IF(D11="","-",+C53+1)</f>
        <v>2050</v>
      </c>
      <c r="D54" s="485">
        <f>IF(F53+SUM(E$17:E53)=D$10,F53,D$10-SUM(E$17:E53))</f>
        <v>71409.238938580849</v>
      </c>
      <c r="E54" s="484">
        <f t="shared" si="5"/>
        <v>24656</v>
      </c>
      <c r="F54" s="485">
        <f t="shared" si="22"/>
        <v>46753.238938580849</v>
      </c>
      <c r="G54" s="486">
        <f t="shared" si="23"/>
        <v>31025.621973804318</v>
      </c>
      <c r="H54" s="455">
        <f t="shared" si="24"/>
        <v>31025.621973804318</v>
      </c>
      <c r="I54" s="475">
        <f t="shared" si="6"/>
        <v>0</v>
      </c>
      <c r="J54" s="475"/>
      <c r="K54" s="487"/>
      <c r="L54" s="478">
        <f t="shared" si="25"/>
        <v>0</v>
      </c>
      <c r="M54" s="487"/>
      <c r="N54" s="478">
        <f t="shared" si="11"/>
        <v>0</v>
      </c>
      <c r="O54" s="478">
        <f t="shared" si="12"/>
        <v>0</v>
      </c>
      <c r="P54" s="243"/>
    </row>
    <row r="55" spans="2:16">
      <c r="B55" s="160" t="str">
        <f t="shared" si="7"/>
        <v/>
      </c>
      <c r="C55" s="472">
        <f>IF(D11="","-",+C54+1)</f>
        <v>2051</v>
      </c>
      <c r="D55" s="485">
        <f>IF(F54+SUM(E$17:E54)=D$10,F54,D$10-SUM(E$17:E54))</f>
        <v>46753.238938580849</v>
      </c>
      <c r="E55" s="484">
        <f t="shared" si="5"/>
        <v>24656</v>
      </c>
      <c r="F55" s="485">
        <f t="shared" si="22"/>
        <v>22097.238938580849</v>
      </c>
      <c r="G55" s="486">
        <f t="shared" si="23"/>
        <v>28367.427897180718</v>
      </c>
      <c r="H55" s="455">
        <f t="shared" si="24"/>
        <v>28367.427897180718</v>
      </c>
      <c r="I55" s="475">
        <f t="shared" si="6"/>
        <v>0</v>
      </c>
      <c r="J55" s="475"/>
      <c r="K55" s="487"/>
      <c r="L55" s="478">
        <f t="shared" si="25"/>
        <v>0</v>
      </c>
      <c r="M55" s="487"/>
      <c r="N55" s="478">
        <f t="shared" si="11"/>
        <v>0</v>
      </c>
      <c r="O55" s="478">
        <f t="shared" si="12"/>
        <v>0</v>
      </c>
      <c r="P55" s="243"/>
    </row>
    <row r="56" spans="2:16">
      <c r="B56" s="160" t="str">
        <f t="shared" si="7"/>
        <v/>
      </c>
      <c r="C56" s="472">
        <f>IF(D11="","-",+C55+1)</f>
        <v>2052</v>
      </c>
      <c r="D56" s="485">
        <f>IF(F55+SUM(E$17:E55)=D$10,F55,D$10-SUM(E$17:E55))</f>
        <v>22097.238938580849</v>
      </c>
      <c r="E56" s="484">
        <f t="shared" si="5"/>
        <v>22097.238938580849</v>
      </c>
      <c r="F56" s="485">
        <f t="shared" si="22"/>
        <v>0</v>
      </c>
      <c r="G56" s="486">
        <f t="shared" si="23"/>
        <v>23288.404368015308</v>
      </c>
      <c r="H56" s="455">
        <f t="shared" si="24"/>
        <v>23288.404368015308</v>
      </c>
      <c r="I56" s="475">
        <f t="shared" si="6"/>
        <v>0</v>
      </c>
      <c r="J56" s="475"/>
      <c r="K56" s="487"/>
      <c r="L56" s="478">
        <f t="shared" si="25"/>
        <v>0</v>
      </c>
      <c r="M56" s="487"/>
      <c r="N56" s="478">
        <f t="shared" si="11"/>
        <v>0</v>
      </c>
      <c r="O56" s="478">
        <f t="shared" si="12"/>
        <v>0</v>
      </c>
      <c r="P56" s="243"/>
    </row>
    <row r="57" spans="2:16">
      <c r="B57" s="160" t="str">
        <f t="shared" si="7"/>
        <v/>
      </c>
      <c r="C57" s="472">
        <f>IF(D11="","-",+C56+1)</f>
        <v>2053</v>
      </c>
      <c r="D57" s="485">
        <f>IF(F56+SUM(E$17:E56)=D$10,F56,D$10-SUM(E$17:E56))</f>
        <v>0</v>
      </c>
      <c r="E57" s="484">
        <f t="shared" si="5"/>
        <v>0</v>
      </c>
      <c r="F57" s="485">
        <f t="shared" si="22"/>
        <v>0</v>
      </c>
      <c r="G57" s="486">
        <f t="shared" si="23"/>
        <v>0</v>
      </c>
      <c r="H57" s="455">
        <f t="shared" si="24"/>
        <v>0</v>
      </c>
      <c r="I57" s="475">
        <f t="shared" si="6"/>
        <v>0</v>
      </c>
      <c r="J57" s="475"/>
      <c r="K57" s="487"/>
      <c r="L57" s="478">
        <f t="shared" si="25"/>
        <v>0</v>
      </c>
      <c r="M57" s="487"/>
      <c r="N57" s="478">
        <f t="shared" si="11"/>
        <v>0</v>
      </c>
      <c r="O57" s="478">
        <f t="shared" si="12"/>
        <v>0</v>
      </c>
      <c r="P57" s="243"/>
    </row>
    <row r="58" spans="2:16">
      <c r="B58" s="160" t="str">
        <f t="shared" si="7"/>
        <v/>
      </c>
      <c r="C58" s="472">
        <f>IF(D11="","-",+C57+1)</f>
        <v>2054</v>
      </c>
      <c r="D58" s="485">
        <f>IF(F57+SUM(E$17:E57)=D$10,F57,D$10-SUM(E$17:E57))</f>
        <v>0</v>
      </c>
      <c r="E58" s="484">
        <f t="shared" si="5"/>
        <v>0</v>
      </c>
      <c r="F58" s="485">
        <f t="shared" si="22"/>
        <v>0</v>
      </c>
      <c r="G58" s="486">
        <f t="shared" si="23"/>
        <v>0</v>
      </c>
      <c r="H58" s="455">
        <f t="shared" si="24"/>
        <v>0</v>
      </c>
      <c r="I58" s="475">
        <f t="shared" si="6"/>
        <v>0</v>
      </c>
      <c r="J58" s="475"/>
      <c r="K58" s="487"/>
      <c r="L58" s="478">
        <f t="shared" si="25"/>
        <v>0</v>
      </c>
      <c r="M58" s="487"/>
      <c r="N58" s="478">
        <f t="shared" si="11"/>
        <v>0</v>
      </c>
      <c r="O58" s="478">
        <f t="shared" si="12"/>
        <v>0</v>
      </c>
      <c r="P58" s="243"/>
    </row>
    <row r="59" spans="2:16">
      <c r="B59" s="160" t="str">
        <f t="shared" si="7"/>
        <v/>
      </c>
      <c r="C59" s="472">
        <f>IF(D11="","-",+C58+1)</f>
        <v>2055</v>
      </c>
      <c r="D59" s="485">
        <f>IF(F58+SUM(E$17:E58)=D$10,F58,D$10-SUM(E$17:E58))</f>
        <v>0</v>
      </c>
      <c r="E59" s="484">
        <f t="shared" si="5"/>
        <v>0</v>
      </c>
      <c r="F59" s="485">
        <f t="shared" si="22"/>
        <v>0</v>
      </c>
      <c r="G59" s="486">
        <f t="shared" si="23"/>
        <v>0</v>
      </c>
      <c r="H59" s="455">
        <f t="shared" si="24"/>
        <v>0</v>
      </c>
      <c r="I59" s="475">
        <f t="shared" si="6"/>
        <v>0</v>
      </c>
      <c r="J59" s="475"/>
      <c r="K59" s="487"/>
      <c r="L59" s="478">
        <f t="shared" si="25"/>
        <v>0</v>
      </c>
      <c r="M59" s="487"/>
      <c r="N59" s="478">
        <f t="shared" si="11"/>
        <v>0</v>
      </c>
      <c r="O59" s="478">
        <f t="shared" si="12"/>
        <v>0</v>
      </c>
      <c r="P59" s="243"/>
    </row>
    <row r="60" spans="2:16">
      <c r="B60" s="160" t="str">
        <f t="shared" si="7"/>
        <v/>
      </c>
      <c r="C60" s="472">
        <f>IF(D11="","-",+C59+1)</f>
        <v>2056</v>
      </c>
      <c r="D60" s="485">
        <f>IF(F59+SUM(E$17:E59)=D$10,F59,D$10-SUM(E$17:E59))</f>
        <v>0</v>
      </c>
      <c r="E60" s="484">
        <f t="shared" si="5"/>
        <v>0</v>
      </c>
      <c r="F60" s="485">
        <f t="shared" si="22"/>
        <v>0</v>
      </c>
      <c r="G60" s="486">
        <f t="shared" si="23"/>
        <v>0</v>
      </c>
      <c r="H60" s="455">
        <f t="shared" si="24"/>
        <v>0</v>
      </c>
      <c r="I60" s="475">
        <f t="shared" si="6"/>
        <v>0</v>
      </c>
      <c r="J60" s="475"/>
      <c r="K60" s="487"/>
      <c r="L60" s="478">
        <f t="shared" si="25"/>
        <v>0</v>
      </c>
      <c r="M60" s="487"/>
      <c r="N60" s="478">
        <f t="shared" si="11"/>
        <v>0</v>
      </c>
      <c r="O60" s="478">
        <f t="shared" si="12"/>
        <v>0</v>
      </c>
      <c r="P60" s="243"/>
    </row>
    <row r="61" spans="2:16">
      <c r="B61" s="160" t="str">
        <f t="shared" si="7"/>
        <v/>
      </c>
      <c r="C61" s="472">
        <f>IF(D11="","-",+C60+1)</f>
        <v>2057</v>
      </c>
      <c r="D61" s="485">
        <f>IF(F60+SUM(E$17:E60)=D$10,F60,D$10-SUM(E$17:E60))</f>
        <v>0</v>
      </c>
      <c r="E61" s="484">
        <f t="shared" si="5"/>
        <v>0</v>
      </c>
      <c r="F61" s="485">
        <f t="shared" si="22"/>
        <v>0</v>
      </c>
      <c r="G61" s="486">
        <f t="shared" si="23"/>
        <v>0</v>
      </c>
      <c r="H61" s="455">
        <f t="shared" si="24"/>
        <v>0</v>
      </c>
      <c r="I61" s="475">
        <f t="shared" si="6"/>
        <v>0</v>
      </c>
      <c r="J61" s="475"/>
      <c r="K61" s="487"/>
      <c r="L61" s="478">
        <f t="shared" si="25"/>
        <v>0</v>
      </c>
      <c r="M61" s="487"/>
      <c r="N61" s="478">
        <f t="shared" si="11"/>
        <v>0</v>
      </c>
      <c r="O61" s="478">
        <f t="shared" si="12"/>
        <v>0</v>
      </c>
      <c r="P61" s="243"/>
    </row>
    <row r="62" spans="2:16">
      <c r="B62" s="160" t="str">
        <f t="shared" si="7"/>
        <v/>
      </c>
      <c r="C62" s="472">
        <f>IF(D11="","-",+C61+1)</f>
        <v>2058</v>
      </c>
      <c r="D62" s="485">
        <f>IF(F61+SUM(E$17:E61)=D$10,F61,D$10-SUM(E$17:E61))</f>
        <v>0</v>
      </c>
      <c r="E62" s="484">
        <f t="shared" si="5"/>
        <v>0</v>
      </c>
      <c r="F62" s="485">
        <f t="shared" si="22"/>
        <v>0</v>
      </c>
      <c r="G62" s="486">
        <f t="shared" si="23"/>
        <v>0</v>
      </c>
      <c r="H62" s="455">
        <f t="shared" si="24"/>
        <v>0</v>
      </c>
      <c r="I62" s="475">
        <f t="shared" si="6"/>
        <v>0</v>
      </c>
      <c r="J62" s="475"/>
      <c r="K62" s="487"/>
      <c r="L62" s="478">
        <f t="shared" si="25"/>
        <v>0</v>
      </c>
      <c r="M62" s="487"/>
      <c r="N62" s="478">
        <f t="shared" si="11"/>
        <v>0</v>
      </c>
      <c r="O62" s="478">
        <f t="shared" si="12"/>
        <v>0</v>
      </c>
      <c r="P62" s="243"/>
    </row>
    <row r="63" spans="2:16">
      <c r="B63" s="160" t="str">
        <f t="shared" si="7"/>
        <v/>
      </c>
      <c r="C63" s="472">
        <f>IF(D11="","-",+C62+1)</f>
        <v>2059</v>
      </c>
      <c r="D63" s="485">
        <f>IF(F62+SUM(E$17:E62)=D$10,F62,D$10-SUM(E$17:E62))</f>
        <v>0</v>
      </c>
      <c r="E63" s="484">
        <f t="shared" si="5"/>
        <v>0</v>
      </c>
      <c r="F63" s="485">
        <f t="shared" si="22"/>
        <v>0</v>
      </c>
      <c r="G63" s="486">
        <f t="shared" si="23"/>
        <v>0</v>
      </c>
      <c r="H63" s="455">
        <f t="shared" si="24"/>
        <v>0</v>
      </c>
      <c r="I63" s="475">
        <f t="shared" si="6"/>
        <v>0</v>
      </c>
      <c r="J63" s="475"/>
      <c r="K63" s="487"/>
      <c r="L63" s="478">
        <f t="shared" si="25"/>
        <v>0</v>
      </c>
      <c r="M63" s="487"/>
      <c r="N63" s="478">
        <f t="shared" si="11"/>
        <v>0</v>
      </c>
      <c r="O63" s="478">
        <f t="shared" si="12"/>
        <v>0</v>
      </c>
      <c r="P63" s="243"/>
    </row>
    <row r="64" spans="2:16">
      <c r="B64" s="160" t="str">
        <f t="shared" si="7"/>
        <v/>
      </c>
      <c r="C64" s="472">
        <f>IF(D11="","-",+C63+1)</f>
        <v>2060</v>
      </c>
      <c r="D64" s="485">
        <f>IF(F63+SUM(E$17:E63)=D$10,F63,D$10-SUM(E$17:E63))</f>
        <v>0</v>
      </c>
      <c r="E64" s="484">
        <f t="shared" si="5"/>
        <v>0</v>
      </c>
      <c r="F64" s="485">
        <f t="shared" si="22"/>
        <v>0</v>
      </c>
      <c r="G64" s="486">
        <f t="shared" si="23"/>
        <v>0</v>
      </c>
      <c r="H64" s="455">
        <f t="shared" si="24"/>
        <v>0</v>
      </c>
      <c r="I64" s="475">
        <f t="shared" si="6"/>
        <v>0</v>
      </c>
      <c r="J64" s="475"/>
      <c r="K64" s="487"/>
      <c r="L64" s="478">
        <f t="shared" si="25"/>
        <v>0</v>
      </c>
      <c r="M64" s="487"/>
      <c r="N64" s="478">
        <f t="shared" si="11"/>
        <v>0</v>
      </c>
      <c r="O64" s="478">
        <f t="shared" si="12"/>
        <v>0</v>
      </c>
      <c r="P64" s="243"/>
    </row>
    <row r="65" spans="2:16">
      <c r="B65" s="160" t="str">
        <f t="shared" si="7"/>
        <v/>
      </c>
      <c r="C65" s="472">
        <f>IF(D11="","-",+C64+1)</f>
        <v>2061</v>
      </c>
      <c r="D65" s="485">
        <f>IF(F64+SUM(E$17:E64)=D$10,F64,D$10-SUM(E$17:E64))</f>
        <v>0</v>
      </c>
      <c r="E65" s="484">
        <f t="shared" si="5"/>
        <v>0</v>
      </c>
      <c r="F65" s="485">
        <f t="shared" si="22"/>
        <v>0</v>
      </c>
      <c r="G65" s="486">
        <f t="shared" si="23"/>
        <v>0</v>
      </c>
      <c r="H65" s="455">
        <f t="shared" si="24"/>
        <v>0</v>
      </c>
      <c r="I65" s="475">
        <f t="shared" si="6"/>
        <v>0</v>
      </c>
      <c r="J65" s="475"/>
      <c r="K65" s="487"/>
      <c r="L65" s="478">
        <f t="shared" si="25"/>
        <v>0</v>
      </c>
      <c r="M65" s="487"/>
      <c r="N65" s="478">
        <f t="shared" si="11"/>
        <v>0</v>
      </c>
      <c r="O65" s="478">
        <f t="shared" si="12"/>
        <v>0</v>
      </c>
      <c r="P65" s="243"/>
    </row>
    <row r="66" spans="2:16">
      <c r="B66" s="160" t="str">
        <f t="shared" si="7"/>
        <v/>
      </c>
      <c r="C66" s="472">
        <f>IF(D11="","-",+C65+1)</f>
        <v>2062</v>
      </c>
      <c r="D66" s="485">
        <f>IF(F65+SUM(E$17:E65)=D$10,F65,D$10-SUM(E$17:E65))</f>
        <v>0</v>
      </c>
      <c r="E66" s="484">
        <f t="shared" si="5"/>
        <v>0</v>
      </c>
      <c r="F66" s="485">
        <f t="shared" si="22"/>
        <v>0</v>
      </c>
      <c r="G66" s="486">
        <f t="shared" si="23"/>
        <v>0</v>
      </c>
      <c r="H66" s="455">
        <f t="shared" si="24"/>
        <v>0</v>
      </c>
      <c r="I66" s="475">
        <f t="shared" si="6"/>
        <v>0</v>
      </c>
      <c r="J66" s="475"/>
      <c r="K66" s="487"/>
      <c r="L66" s="478">
        <f t="shared" si="25"/>
        <v>0</v>
      </c>
      <c r="M66" s="487"/>
      <c r="N66" s="478">
        <f t="shared" si="11"/>
        <v>0</v>
      </c>
      <c r="O66" s="478">
        <f t="shared" si="12"/>
        <v>0</v>
      </c>
      <c r="P66" s="243"/>
    </row>
    <row r="67" spans="2:16">
      <c r="B67" s="160" t="str">
        <f t="shared" si="7"/>
        <v/>
      </c>
      <c r="C67" s="472">
        <f>IF(D11="","-",+C66+1)</f>
        <v>2063</v>
      </c>
      <c r="D67" s="485">
        <f>IF(F66+SUM(E$17:E66)=D$10,F66,D$10-SUM(E$17:E66))</f>
        <v>0</v>
      </c>
      <c r="E67" s="484">
        <f t="shared" si="5"/>
        <v>0</v>
      </c>
      <c r="F67" s="485">
        <f t="shared" si="22"/>
        <v>0</v>
      </c>
      <c r="G67" s="486">
        <f t="shared" si="23"/>
        <v>0</v>
      </c>
      <c r="H67" s="455">
        <f t="shared" si="24"/>
        <v>0</v>
      </c>
      <c r="I67" s="475">
        <f t="shared" si="6"/>
        <v>0</v>
      </c>
      <c r="J67" s="475"/>
      <c r="K67" s="487"/>
      <c r="L67" s="478">
        <f t="shared" si="25"/>
        <v>0</v>
      </c>
      <c r="M67" s="487"/>
      <c r="N67" s="478">
        <f t="shared" si="11"/>
        <v>0</v>
      </c>
      <c r="O67" s="478">
        <f t="shared" si="12"/>
        <v>0</v>
      </c>
      <c r="P67" s="243"/>
    </row>
    <row r="68" spans="2:16">
      <c r="B68" s="160" t="str">
        <f t="shared" si="7"/>
        <v/>
      </c>
      <c r="C68" s="472">
        <f>IF(D11="","-",+C67+1)</f>
        <v>2064</v>
      </c>
      <c r="D68" s="485">
        <f>IF(F67+SUM(E$17:E67)=D$10,F67,D$10-SUM(E$17:E67))</f>
        <v>0</v>
      </c>
      <c r="E68" s="484">
        <f t="shared" si="5"/>
        <v>0</v>
      </c>
      <c r="F68" s="485">
        <f t="shared" si="22"/>
        <v>0</v>
      </c>
      <c r="G68" s="486">
        <f t="shared" si="23"/>
        <v>0</v>
      </c>
      <c r="H68" s="455">
        <f t="shared" si="24"/>
        <v>0</v>
      </c>
      <c r="I68" s="475">
        <f t="shared" si="6"/>
        <v>0</v>
      </c>
      <c r="J68" s="475"/>
      <c r="K68" s="487"/>
      <c r="L68" s="478">
        <f t="shared" si="25"/>
        <v>0</v>
      </c>
      <c r="M68" s="487"/>
      <c r="N68" s="478">
        <f t="shared" si="11"/>
        <v>0</v>
      </c>
      <c r="O68" s="478">
        <f t="shared" si="12"/>
        <v>0</v>
      </c>
      <c r="P68" s="243"/>
    </row>
    <row r="69" spans="2:16">
      <c r="B69" s="160" t="str">
        <f t="shared" si="7"/>
        <v/>
      </c>
      <c r="C69" s="472">
        <f>IF(D11="","-",+C68+1)</f>
        <v>2065</v>
      </c>
      <c r="D69" s="485">
        <f>IF(F68+SUM(E$17:E68)=D$10,F68,D$10-SUM(E$17:E68))</f>
        <v>0</v>
      </c>
      <c r="E69" s="484">
        <f t="shared" si="5"/>
        <v>0</v>
      </c>
      <c r="F69" s="485">
        <f t="shared" si="22"/>
        <v>0</v>
      </c>
      <c r="G69" s="486">
        <f t="shared" si="23"/>
        <v>0</v>
      </c>
      <c r="H69" s="455">
        <f t="shared" si="24"/>
        <v>0</v>
      </c>
      <c r="I69" s="475">
        <f t="shared" si="6"/>
        <v>0</v>
      </c>
      <c r="J69" s="475"/>
      <c r="K69" s="487"/>
      <c r="L69" s="478">
        <f t="shared" si="25"/>
        <v>0</v>
      </c>
      <c r="M69" s="487"/>
      <c r="N69" s="478">
        <f t="shared" si="11"/>
        <v>0</v>
      </c>
      <c r="O69" s="478">
        <f t="shared" si="12"/>
        <v>0</v>
      </c>
      <c r="P69" s="243"/>
    </row>
    <row r="70" spans="2:16">
      <c r="B70" s="160" t="str">
        <f t="shared" si="7"/>
        <v/>
      </c>
      <c r="C70" s="472">
        <f>IF(D11="","-",+C69+1)</f>
        <v>2066</v>
      </c>
      <c r="D70" s="485">
        <f>IF(F69+SUM(E$17:E69)=D$10,F69,D$10-SUM(E$17:E69))</f>
        <v>0</v>
      </c>
      <c r="E70" s="484">
        <f t="shared" si="5"/>
        <v>0</v>
      </c>
      <c r="F70" s="485">
        <f t="shared" si="22"/>
        <v>0</v>
      </c>
      <c r="G70" s="486">
        <f t="shared" si="23"/>
        <v>0</v>
      </c>
      <c r="H70" s="455">
        <f t="shared" si="24"/>
        <v>0</v>
      </c>
      <c r="I70" s="475">
        <f t="shared" si="6"/>
        <v>0</v>
      </c>
      <c r="J70" s="475"/>
      <c r="K70" s="487"/>
      <c r="L70" s="478">
        <f t="shared" si="25"/>
        <v>0</v>
      </c>
      <c r="M70" s="487"/>
      <c r="N70" s="478">
        <f t="shared" si="11"/>
        <v>0</v>
      </c>
      <c r="O70" s="478">
        <f t="shared" si="12"/>
        <v>0</v>
      </c>
      <c r="P70" s="243"/>
    </row>
    <row r="71" spans="2:16">
      <c r="B71" s="160" t="str">
        <f t="shared" si="7"/>
        <v/>
      </c>
      <c r="C71" s="472">
        <f>IF(D11="","-",+C70+1)</f>
        <v>2067</v>
      </c>
      <c r="D71" s="485">
        <f>IF(F70+SUM(E$17:E70)=D$10,F70,D$10-SUM(E$17:E70))</f>
        <v>0</v>
      </c>
      <c r="E71" s="484">
        <f t="shared" si="5"/>
        <v>0</v>
      </c>
      <c r="F71" s="485">
        <f t="shared" si="22"/>
        <v>0</v>
      </c>
      <c r="G71" s="486">
        <f t="shared" si="23"/>
        <v>0</v>
      </c>
      <c r="H71" s="455">
        <f t="shared" si="24"/>
        <v>0</v>
      </c>
      <c r="I71" s="475">
        <f t="shared" si="6"/>
        <v>0</v>
      </c>
      <c r="J71" s="475"/>
      <c r="K71" s="487"/>
      <c r="L71" s="478">
        <f t="shared" si="25"/>
        <v>0</v>
      </c>
      <c r="M71" s="487"/>
      <c r="N71" s="478">
        <f t="shared" si="11"/>
        <v>0</v>
      </c>
      <c r="O71" s="478">
        <f t="shared" si="12"/>
        <v>0</v>
      </c>
      <c r="P71" s="243"/>
    </row>
    <row r="72" spans="2:16" ht="13.5" thickBot="1">
      <c r="B72" s="160" t="str">
        <f t="shared" si="7"/>
        <v/>
      </c>
      <c r="C72" s="489">
        <f>IF(D11="","-",+C71+1)</f>
        <v>2068</v>
      </c>
      <c r="D72" s="490">
        <f>IF(F71+SUM(E$17:E71)=D$10,F71,D$10-SUM(E$17:E71))</f>
        <v>0</v>
      </c>
      <c r="E72" s="491">
        <f t="shared" si="5"/>
        <v>0</v>
      </c>
      <c r="F72" s="490">
        <f t="shared" si="22"/>
        <v>0</v>
      </c>
      <c r="G72" s="490">
        <f t="shared" si="23"/>
        <v>0</v>
      </c>
      <c r="H72" s="490">
        <f t="shared" si="24"/>
        <v>0</v>
      </c>
      <c r="I72" s="495">
        <f t="shared" si="6"/>
        <v>0</v>
      </c>
      <c r="J72" s="490"/>
      <c r="K72" s="494"/>
      <c r="L72" s="495">
        <f t="shared" si="25"/>
        <v>0</v>
      </c>
      <c r="M72" s="494"/>
      <c r="N72" s="495">
        <f t="shared" si="11"/>
        <v>0</v>
      </c>
      <c r="O72" s="495">
        <f t="shared" si="12"/>
        <v>0</v>
      </c>
      <c r="P72" s="243"/>
    </row>
    <row r="73" spans="2:16">
      <c r="C73" s="347" t="s">
        <v>77</v>
      </c>
      <c r="D73" s="348"/>
      <c r="E73" s="348">
        <f>SUM(E17:E72)</f>
        <v>1035552</v>
      </c>
      <c r="F73" s="348"/>
      <c r="G73" s="348">
        <f>SUM(G17:G72)</f>
        <v>5168189.0092276139</v>
      </c>
      <c r="H73" s="348">
        <f>SUM(H17:H72)</f>
        <v>5168189.0092276139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14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104126</v>
      </c>
      <c r="N87" s="508">
        <f>IF(J92&lt;D11,0,VLOOKUP(J92,C17:O72,11))</f>
        <v>104126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117139.50278773616</v>
      </c>
      <c r="N88" s="512">
        <f>IF(J92&lt;D11,0,VLOOKUP(J92,C99:P154,7))</f>
        <v>117139.50278773616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Ashdown West - Craig Junction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13013.502787736157</v>
      </c>
      <c r="N89" s="517">
        <f>+N88-N87</f>
        <v>13013.502787736157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1035552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604" t="s">
        <v>268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26553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2013</v>
      </c>
      <c r="D99" s="584">
        <v>0</v>
      </c>
      <c r="E99" s="585">
        <v>16595</v>
      </c>
      <c r="F99" s="586">
        <v>1018741</v>
      </c>
      <c r="G99" s="605">
        <v>509371</v>
      </c>
      <c r="H99" s="606">
        <v>89910</v>
      </c>
      <c r="I99" s="607">
        <v>89910</v>
      </c>
      <c r="J99" s="478">
        <v>0</v>
      </c>
      <c r="K99" s="478"/>
      <c r="L99" s="476">
        <f t="shared" ref="L99:L104" si="26">H99</f>
        <v>89910</v>
      </c>
      <c r="M99" s="349">
        <f t="shared" ref="M99:M104" si="27">IF(L99&lt;&gt;0,+H99-L99,0)</f>
        <v>0</v>
      </c>
      <c r="N99" s="476">
        <f t="shared" ref="N99:N104" si="28">I99</f>
        <v>89910</v>
      </c>
      <c r="O99" s="475">
        <f t="shared" ref="O99:O104" si="29">IF(N99&lt;&gt;0,+I99-N99,0)</f>
        <v>0</v>
      </c>
      <c r="P99" s="478">
        <f t="shared" ref="P99:P104" si="30">+O99-M99</f>
        <v>0</v>
      </c>
    </row>
    <row r="100" spans="1:16">
      <c r="B100" s="160" t="str">
        <f>IF(D100=F99,"","IU")</f>
        <v>IU</v>
      </c>
      <c r="C100" s="472">
        <f>IF(D93="","-",+C99+1)</f>
        <v>2014</v>
      </c>
      <c r="D100" s="584">
        <v>1018957</v>
      </c>
      <c r="E100" s="585">
        <v>19914</v>
      </c>
      <c r="F100" s="586">
        <v>999043</v>
      </c>
      <c r="G100" s="586">
        <v>1009000</v>
      </c>
      <c r="H100" s="585">
        <v>161775</v>
      </c>
      <c r="I100" s="587">
        <v>161775</v>
      </c>
      <c r="J100" s="478">
        <f>+I100-H100</f>
        <v>0</v>
      </c>
      <c r="K100" s="478"/>
      <c r="L100" s="476">
        <f t="shared" si="26"/>
        <v>161775</v>
      </c>
      <c r="M100" s="349">
        <f t="shared" si="27"/>
        <v>0</v>
      </c>
      <c r="N100" s="476">
        <f t="shared" si="28"/>
        <v>161775</v>
      </c>
      <c r="O100" s="475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2015</v>
      </c>
      <c r="D101" s="584">
        <v>999043</v>
      </c>
      <c r="E101" s="585">
        <v>19914</v>
      </c>
      <c r="F101" s="586">
        <v>979129</v>
      </c>
      <c r="G101" s="586">
        <v>989086</v>
      </c>
      <c r="H101" s="585">
        <v>154866.83205665913</v>
      </c>
      <c r="I101" s="587">
        <v>154866.83205665913</v>
      </c>
      <c r="J101" s="478">
        <f>+I101-H101</f>
        <v>0</v>
      </c>
      <c r="K101" s="478"/>
      <c r="L101" s="476">
        <f t="shared" si="26"/>
        <v>154866.83205665913</v>
      </c>
      <c r="M101" s="349">
        <f t="shared" si="27"/>
        <v>0</v>
      </c>
      <c r="N101" s="476">
        <f t="shared" si="28"/>
        <v>154866.83205665913</v>
      </c>
      <c r="O101" s="475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72">
        <f>IF(D93="","-",+C101+1)</f>
        <v>2016</v>
      </c>
      <c r="D102" s="584">
        <v>979129</v>
      </c>
      <c r="E102" s="585">
        <v>22512</v>
      </c>
      <c r="F102" s="586">
        <v>956617</v>
      </c>
      <c r="G102" s="586">
        <v>967873</v>
      </c>
      <c r="H102" s="585">
        <v>147286.07261026395</v>
      </c>
      <c r="I102" s="587">
        <v>147286.07261026395</v>
      </c>
      <c r="J102" s="478">
        <f t="shared" ref="J102:J154" si="32">+I102-H102</f>
        <v>0</v>
      </c>
      <c r="K102" s="478"/>
      <c r="L102" s="476">
        <f t="shared" si="26"/>
        <v>147286.07261026395</v>
      </c>
      <c r="M102" s="349">
        <f t="shared" si="27"/>
        <v>0</v>
      </c>
      <c r="N102" s="476">
        <f t="shared" si="28"/>
        <v>147286.07261026395</v>
      </c>
      <c r="O102" s="475">
        <f t="shared" si="29"/>
        <v>0</v>
      </c>
      <c r="P102" s="478">
        <f t="shared" si="30"/>
        <v>0</v>
      </c>
    </row>
    <row r="103" spans="1:16">
      <c r="B103" s="160" t="str">
        <f t="shared" si="31"/>
        <v/>
      </c>
      <c r="C103" s="472">
        <f>IF(D93="","-",+C102+1)</f>
        <v>2017</v>
      </c>
      <c r="D103" s="584">
        <v>956617</v>
      </c>
      <c r="E103" s="585">
        <v>22512</v>
      </c>
      <c r="F103" s="586">
        <v>934105</v>
      </c>
      <c r="G103" s="586">
        <v>945361</v>
      </c>
      <c r="H103" s="585">
        <v>142433.42657860837</v>
      </c>
      <c r="I103" s="587">
        <v>142433.42657860837</v>
      </c>
      <c r="J103" s="478">
        <f t="shared" si="32"/>
        <v>0</v>
      </c>
      <c r="K103" s="478"/>
      <c r="L103" s="476">
        <f t="shared" si="26"/>
        <v>142433.42657860837</v>
      </c>
      <c r="M103" s="349">
        <f t="shared" si="27"/>
        <v>0</v>
      </c>
      <c r="N103" s="476">
        <f t="shared" si="28"/>
        <v>142433.42657860837</v>
      </c>
      <c r="O103" s="475">
        <f t="shared" si="29"/>
        <v>0</v>
      </c>
      <c r="P103" s="478">
        <f t="shared" si="30"/>
        <v>0</v>
      </c>
    </row>
    <row r="104" spans="1:16">
      <c r="B104" s="160" t="str">
        <f t="shared" si="31"/>
        <v/>
      </c>
      <c r="C104" s="472">
        <f>IF(D93="","-",+C103+1)</f>
        <v>2018</v>
      </c>
      <c r="D104" s="584">
        <v>934105</v>
      </c>
      <c r="E104" s="585">
        <v>24083</v>
      </c>
      <c r="F104" s="586">
        <v>910022</v>
      </c>
      <c r="G104" s="586">
        <v>922063.5</v>
      </c>
      <c r="H104" s="585">
        <v>118811.71632291189</v>
      </c>
      <c r="I104" s="587">
        <v>118811.71632291189</v>
      </c>
      <c r="J104" s="478">
        <f t="shared" si="32"/>
        <v>0</v>
      </c>
      <c r="K104" s="478"/>
      <c r="L104" s="476">
        <f t="shared" si="26"/>
        <v>118811.71632291189</v>
      </c>
      <c r="M104" s="349">
        <f t="shared" si="27"/>
        <v>0</v>
      </c>
      <c r="N104" s="476">
        <f t="shared" si="28"/>
        <v>118811.71632291189</v>
      </c>
      <c r="O104" s="475">
        <f t="shared" si="29"/>
        <v>0</v>
      </c>
      <c r="P104" s="478">
        <f t="shared" si="30"/>
        <v>0</v>
      </c>
    </row>
    <row r="105" spans="1:16">
      <c r="B105" s="160" t="str">
        <f t="shared" si="31"/>
        <v/>
      </c>
      <c r="C105" s="472">
        <f>IF(D93="","-",+C104+1)</f>
        <v>2019</v>
      </c>
      <c r="D105" s="584">
        <v>910022</v>
      </c>
      <c r="E105" s="585">
        <v>25257</v>
      </c>
      <c r="F105" s="586">
        <v>884765</v>
      </c>
      <c r="G105" s="586">
        <v>897393.5</v>
      </c>
      <c r="H105" s="585">
        <v>117790.85676358812</v>
      </c>
      <c r="I105" s="587">
        <v>117790.85676358812</v>
      </c>
      <c r="J105" s="478">
        <f t="shared" si="32"/>
        <v>0</v>
      </c>
      <c r="K105" s="478"/>
      <c r="L105" s="476">
        <f t="shared" ref="L105" si="33">H105</f>
        <v>117790.85676358812</v>
      </c>
      <c r="M105" s="349">
        <f t="shared" ref="M105" si="34">IF(L105&lt;&gt;0,+H105-L105,0)</f>
        <v>0</v>
      </c>
      <c r="N105" s="476">
        <f t="shared" ref="N105" si="35">I105</f>
        <v>117790.85676358812</v>
      </c>
      <c r="O105" s="478">
        <f t="shared" ref="O105:O130" si="36">IF(N105&lt;&gt;0,+I105-N105,0)</f>
        <v>0</v>
      </c>
      <c r="P105" s="478">
        <f t="shared" ref="P105:P130" si="37">+O105-M105</f>
        <v>0</v>
      </c>
    </row>
    <row r="106" spans="1:16">
      <c r="B106" s="160" t="str">
        <f t="shared" si="31"/>
        <v/>
      </c>
      <c r="C106" s="472">
        <f>IF(D93="","-",+C105+1)</f>
        <v>2020</v>
      </c>
      <c r="D106" s="584">
        <v>884765</v>
      </c>
      <c r="E106" s="585">
        <v>24083</v>
      </c>
      <c r="F106" s="586">
        <v>860682</v>
      </c>
      <c r="G106" s="586">
        <v>872723.5</v>
      </c>
      <c r="H106" s="585">
        <v>124705.62019457563</v>
      </c>
      <c r="I106" s="587">
        <v>124705.62019457563</v>
      </c>
      <c r="J106" s="478">
        <f t="shared" si="32"/>
        <v>0</v>
      </c>
      <c r="K106" s="478"/>
      <c r="L106" s="476">
        <f t="shared" ref="L106" si="38">H106</f>
        <v>124705.62019457563</v>
      </c>
      <c r="M106" s="349">
        <f t="shared" ref="M106" si="39">IF(L106&lt;&gt;0,+H106-L106,0)</f>
        <v>0</v>
      </c>
      <c r="N106" s="476">
        <f t="shared" ref="N106" si="40">I106</f>
        <v>124705.62019457563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1"/>
        <v/>
      </c>
      <c r="C107" s="472">
        <f>IF(D93="","-",+C106+1)</f>
        <v>2021</v>
      </c>
      <c r="D107" s="584">
        <v>860682</v>
      </c>
      <c r="E107" s="585">
        <v>25257</v>
      </c>
      <c r="F107" s="586">
        <v>835425</v>
      </c>
      <c r="G107" s="586">
        <v>848053.5</v>
      </c>
      <c r="H107" s="585">
        <v>121759.37640510849</v>
      </c>
      <c r="I107" s="587">
        <v>121759.37640510849</v>
      </c>
      <c r="J107" s="478">
        <f t="shared" si="32"/>
        <v>0</v>
      </c>
      <c r="K107" s="478"/>
      <c r="L107" s="476">
        <f t="shared" ref="L107" si="41">H107</f>
        <v>121759.37640510849</v>
      </c>
      <c r="M107" s="349">
        <f t="shared" ref="M107" si="42">IF(L107&lt;&gt;0,+H107-L107,0)</f>
        <v>0</v>
      </c>
      <c r="N107" s="476">
        <f t="shared" ref="N107" si="43">I107</f>
        <v>121759.37640510849</v>
      </c>
      <c r="O107" s="478">
        <f t="shared" si="36"/>
        <v>0</v>
      </c>
      <c r="P107" s="478">
        <f t="shared" si="37"/>
        <v>0</v>
      </c>
    </row>
    <row r="108" spans="1:16">
      <c r="B108" s="160" t="str">
        <f t="shared" si="31"/>
        <v/>
      </c>
      <c r="C108" s="472">
        <f>IF(D93="","-",+C107+1)</f>
        <v>2022</v>
      </c>
      <c r="D108" s="347">
        <f>IF(F107+SUM(E$99:E107)=D$92,F107,D$92-SUM(E$99:E107))</f>
        <v>835425</v>
      </c>
      <c r="E108" s="484">
        <f t="shared" ref="E108:E154" si="44">IF(+J$96&lt;F107,J$96,D108)</f>
        <v>26553</v>
      </c>
      <c r="F108" s="485">
        <f t="shared" ref="F108:F154" si="45">+D108-E108</f>
        <v>808872</v>
      </c>
      <c r="G108" s="485">
        <f t="shared" ref="G108:G154" si="46">+(F108+D108)/2</f>
        <v>822148.5</v>
      </c>
      <c r="H108" s="486">
        <f t="shared" ref="H108:H152" si="47">(D108+F108)/2*J$94+E108</f>
        <v>117139.50278773616</v>
      </c>
      <c r="I108" s="542">
        <f t="shared" ref="I108:I152" si="48">+J$95*G108+E108</f>
        <v>117139.50278773616</v>
      </c>
      <c r="J108" s="478">
        <f t="shared" si="32"/>
        <v>0</v>
      </c>
      <c r="K108" s="478"/>
      <c r="L108" s="487"/>
      <c r="M108" s="478">
        <f t="shared" ref="M108:M130" si="49">IF(L108&lt;&gt;0,+H108-L108,0)</f>
        <v>0</v>
      </c>
      <c r="N108" s="487"/>
      <c r="O108" s="478">
        <f t="shared" si="36"/>
        <v>0</v>
      </c>
      <c r="P108" s="478">
        <f t="shared" si="37"/>
        <v>0</v>
      </c>
    </row>
    <row r="109" spans="1:16">
      <c r="B109" s="160" t="str">
        <f t="shared" si="31"/>
        <v/>
      </c>
      <c r="C109" s="472">
        <f>IF(D93="","-",+C108+1)</f>
        <v>2023</v>
      </c>
      <c r="D109" s="347">
        <f>IF(F108+SUM(E$99:E108)=D$92,F108,D$92-SUM(E$99:E108))</f>
        <v>808872</v>
      </c>
      <c r="E109" s="484">
        <f t="shared" si="44"/>
        <v>26553</v>
      </c>
      <c r="F109" s="485">
        <f t="shared" si="45"/>
        <v>782319</v>
      </c>
      <c r="G109" s="485">
        <f t="shared" si="46"/>
        <v>795595.5</v>
      </c>
      <c r="H109" s="486">
        <f t="shared" si="47"/>
        <v>114213.82280592903</v>
      </c>
      <c r="I109" s="542">
        <f t="shared" si="48"/>
        <v>114213.82280592903</v>
      </c>
      <c r="J109" s="478">
        <f t="shared" si="32"/>
        <v>0</v>
      </c>
      <c r="K109" s="478"/>
      <c r="L109" s="487"/>
      <c r="M109" s="478">
        <f t="shared" si="49"/>
        <v>0</v>
      </c>
      <c r="N109" s="487"/>
      <c r="O109" s="478">
        <f t="shared" si="36"/>
        <v>0</v>
      </c>
      <c r="P109" s="478">
        <f t="shared" si="37"/>
        <v>0</v>
      </c>
    </row>
    <row r="110" spans="1:16">
      <c r="B110" s="160" t="str">
        <f t="shared" si="31"/>
        <v/>
      </c>
      <c r="C110" s="472">
        <f>IF(D93="","-",+C109+1)</f>
        <v>2024</v>
      </c>
      <c r="D110" s="347">
        <f>IF(F109+SUM(E$99:E109)=D$92,F109,D$92-SUM(E$99:E109))</f>
        <v>782319</v>
      </c>
      <c r="E110" s="484">
        <f t="shared" si="44"/>
        <v>26553</v>
      </c>
      <c r="F110" s="485">
        <f t="shared" si="45"/>
        <v>755766</v>
      </c>
      <c r="G110" s="485">
        <f t="shared" si="46"/>
        <v>769042.5</v>
      </c>
      <c r="H110" s="486">
        <f t="shared" si="47"/>
        <v>111288.1428241219</v>
      </c>
      <c r="I110" s="542">
        <f t="shared" si="48"/>
        <v>111288.1428241219</v>
      </c>
      <c r="J110" s="478">
        <f t="shared" si="32"/>
        <v>0</v>
      </c>
      <c r="K110" s="478"/>
      <c r="L110" s="487"/>
      <c r="M110" s="478">
        <f t="shared" si="49"/>
        <v>0</v>
      </c>
      <c r="N110" s="487"/>
      <c r="O110" s="478">
        <f t="shared" si="36"/>
        <v>0</v>
      </c>
      <c r="P110" s="478">
        <f t="shared" si="37"/>
        <v>0</v>
      </c>
    </row>
    <row r="111" spans="1:16">
      <c r="B111" s="160" t="str">
        <f t="shared" si="31"/>
        <v/>
      </c>
      <c r="C111" s="472">
        <f>IF(D93="","-",+C110+1)</f>
        <v>2025</v>
      </c>
      <c r="D111" s="347">
        <f>IF(F110+SUM(E$99:E110)=D$92,F110,D$92-SUM(E$99:E110))</f>
        <v>755766</v>
      </c>
      <c r="E111" s="484">
        <f t="shared" si="44"/>
        <v>26553</v>
      </c>
      <c r="F111" s="485">
        <f t="shared" si="45"/>
        <v>729213</v>
      </c>
      <c r="G111" s="485">
        <f t="shared" si="46"/>
        <v>742489.5</v>
      </c>
      <c r="H111" s="486">
        <f t="shared" si="47"/>
        <v>108362.46284231477</v>
      </c>
      <c r="I111" s="542">
        <f t="shared" si="48"/>
        <v>108362.46284231477</v>
      </c>
      <c r="J111" s="478">
        <f t="shared" si="32"/>
        <v>0</v>
      </c>
      <c r="K111" s="478"/>
      <c r="L111" s="487"/>
      <c r="M111" s="478">
        <f t="shared" si="49"/>
        <v>0</v>
      </c>
      <c r="N111" s="487"/>
      <c r="O111" s="478">
        <f t="shared" si="36"/>
        <v>0</v>
      </c>
      <c r="P111" s="478">
        <f t="shared" si="37"/>
        <v>0</v>
      </c>
    </row>
    <row r="112" spans="1:16">
      <c r="B112" s="160" t="str">
        <f t="shared" si="31"/>
        <v/>
      </c>
      <c r="C112" s="472">
        <f>IF(D93="","-",+C111+1)</f>
        <v>2026</v>
      </c>
      <c r="D112" s="347">
        <f>IF(F111+SUM(E$99:E111)=D$92,F111,D$92-SUM(E$99:E111))</f>
        <v>729213</v>
      </c>
      <c r="E112" s="484">
        <f t="shared" si="44"/>
        <v>26553</v>
      </c>
      <c r="F112" s="485">
        <f t="shared" si="45"/>
        <v>702660</v>
      </c>
      <c r="G112" s="485">
        <f t="shared" si="46"/>
        <v>715936.5</v>
      </c>
      <c r="H112" s="486">
        <f t="shared" si="47"/>
        <v>105436.78286050764</v>
      </c>
      <c r="I112" s="542">
        <f t="shared" si="48"/>
        <v>105436.78286050764</v>
      </c>
      <c r="J112" s="478">
        <f t="shared" si="32"/>
        <v>0</v>
      </c>
      <c r="K112" s="478"/>
      <c r="L112" s="487"/>
      <c r="M112" s="478">
        <f t="shared" si="49"/>
        <v>0</v>
      </c>
      <c r="N112" s="487"/>
      <c r="O112" s="478">
        <f t="shared" si="36"/>
        <v>0</v>
      </c>
      <c r="P112" s="478">
        <f t="shared" si="37"/>
        <v>0</v>
      </c>
    </row>
    <row r="113" spans="2:16">
      <c r="B113" s="160" t="str">
        <f t="shared" si="31"/>
        <v/>
      </c>
      <c r="C113" s="472">
        <f>IF(D93="","-",+C112+1)</f>
        <v>2027</v>
      </c>
      <c r="D113" s="347">
        <f>IF(F112+SUM(E$99:E112)=D$92,F112,D$92-SUM(E$99:E112))</f>
        <v>702660</v>
      </c>
      <c r="E113" s="484">
        <f t="shared" si="44"/>
        <v>26553</v>
      </c>
      <c r="F113" s="485">
        <f t="shared" si="45"/>
        <v>676107</v>
      </c>
      <c r="G113" s="485">
        <f t="shared" si="46"/>
        <v>689383.5</v>
      </c>
      <c r="H113" s="486">
        <f t="shared" si="47"/>
        <v>102511.10287870051</v>
      </c>
      <c r="I113" s="542">
        <f t="shared" si="48"/>
        <v>102511.10287870051</v>
      </c>
      <c r="J113" s="478">
        <f t="shared" si="32"/>
        <v>0</v>
      </c>
      <c r="K113" s="478"/>
      <c r="L113" s="487"/>
      <c r="M113" s="478">
        <f t="shared" si="49"/>
        <v>0</v>
      </c>
      <c r="N113" s="487"/>
      <c r="O113" s="478">
        <f t="shared" si="36"/>
        <v>0</v>
      </c>
      <c r="P113" s="478">
        <f t="shared" si="37"/>
        <v>0</v>
      </c>
    </row>
    <row r="114" spans="2:16">
      <c r="B114" s="160" t="str">
        <f t="shared" si="31"/>
        <v/>
      </c>
      <c r="C114" s="472">
        <f>IF(D93="","-",+C113+1)</f>
        <v>2028</v>
      </c>
      <c r="D114" s="347">
        <f>IF(F113+SUM(E$99:E113)=D$92,F113,D$92-SUM(E$99:E113))</f>
        <v>676107</v>
      </c>
      <c r="E114" s="484">
        <f t="shared" si="44"/>
        <v>26553</v>
      </c>
      <c r="F114" s="485">
        <f t="shared" si="45"/>
        <v>649554</v>
      </c>
      <c r="G114" s="485">
        <f t="shared" si="46"/>
        <v>662830.5</v>
      </c>
      <c r="H114" s="486">
        <f t="shared" si="47"/>
        <v>99585.422896893375</v>
      </c>
      <c r="I114" s="542">
        <f t="shared" si="48"/>
        <v>99585.422896893375</v>
      </c>
      <c r="J114" s="478">
        <f t="shared" si="32"/>
        <v>0</v>
      </c>
      <c r="K114" s="478"/>
      <c r="L114" s="487"/>
      <c r="M114" s="478">
        <f t="shared" si="49"/>
        <v>0</v>
      </c>
      <c r="N114" s="487"/>
      <c r="O114" s="478">
        <f t="shared" si="36"/>
        <v>0</v>
      </c>
      <c r="P114" s="478">
        <f t="shared" si="37"/>
        <v>0</v>
      </c>
    </row>
    <row r="115" spans="2:16">
      <c r="B115" s="160" t="str">
        <f t="shared" si="31"/>
        <v/>
      </c>
      <c r="C115" s="472">
        <f>IF(D93="","-",+C114+1)</f>
        <v>2029</v>
      </c>
      <c r="D115" s="347">
        <f>IF(F114+SUM(E$99:E114)=D$92,F114,D$92-SUM(E$99:E114))</f>
        <v>649554</v>
      </c>
      <c r="E115" s="484">
        <f t="shared" si="44"/>
        <v>26553</v>
      </c>
      <c r="F115" s="485">
        <f t="shared" si="45"/>
        <v>623001</v>
      </c>
      <c r="G115" s="485">
        <f t="shared" si="46"/>
        <v>636277.5</v>
      </c>
      <c r="H115" s="486">
        <f t="shared" si="47"/>
        <v>96659.742915086259</v>
      </c>
      <c r="I115" s="542">
        <f t="shared" si="48"/>
        <v>96659.742915086259</v>
      </c>
      <c r="J115" s="478">
        <f t="shared" si="32"/>
        <v>0</v>
      </c>
      <c r="K115" s="478"/>
      <c r="L115" s="487"/>
      <c r="M115" s="478">
        <f t="shared" si="49"/>
        <v>0</v>
      </c>
      <c r="N115" s="487"/>
      <c r="O115" s="478">
        <f t="shared" si="36"/>
        <v>0</v>
      </c>
      <c r="P115" s="478">
        <f t="shared" si="37"/>
        <v>0</v>
      </c>
    </row>
    <row r="116" spans="2:16">
      <c r="B116" s="160" t="str">
        <f t="shared" si="31"/>
        <v/>
      </c>
      <c r="C116" s="472">
        <f>IF(D93="","-",+C115+1)</f>
        <v>2030</v>
      </c>
      <c r="D116" s="347">
        <f>IF(F115+SUM(E$99:E115)=D$92,F115,D$92-SUM(E$99:E115))</f>
        <v>623001</v>
      </c>
      <c r="E116" s="484">
        <f t="shared" si="44"/>
        <v>26553</v>
      </c>
      <c r="F116" s="485">
        <f t="shared" si="45"/>
        <v>596448</v>
      </c>
      <c r="G116" s="485">
        <f t="shared" si="46"/>
        <v>609724.5</v>
      </c>
      <c r="H116" s="486">
        <f t="shared" si="47"/>
        <v>93734.062933279129</v>
      </c>
      <c r="I116" s="542">
        <f t="shared" si="48"/>
        <v>93734.062933279129</v>
      </c>
      <c r="J116" s="478">
        <f t="shared" si="32"/>
        <v>0</v>
      </c>
      <c r="K116" s="478"/>
      <c r="L116" s="487"/>
      <c r="M116" s="478">
        <f t="shared" si="49"/>
        <v>0</v>
      </c>
      <c r="N116" s="487"/>
      <c r="O116" s="478">
        <f t="shared" si="36"/>
        <v>0</v>
      </c>
      <c r="P116" s="478">
        <f t="shared" si="37"/>
        <v>0</v>
      </c>
    </row>
    <row r="117" spans="2:16">
      <c r="B117" s="160" t="str">
        <f t="shared" si="31"/>
        <v/>
      </c>
      <c r="C117" s="472">
        <f>IF(D93="","-",+C116+1)</f>
        <v>2031</v>
      </c>
      <c r="D117" s="347">
        <f>IF(F116+SUM(E$99:E116)=D$92,F116,D$92-SUM(E$99:E116))</f>
        <v>596448</v>
      </c>
      <c r="E117" s="484">
        <f t="shared" si="44"/>
        <v>26553</v>
      </c>
      <c r="F117" s="485">
        <f t="shared" si="45"/>
        <v>569895</v>
      </c>
      <c r="G117" s="485">
        <f t="shared" si="46"/>
        <v>583171.5</v>
      </c>
      <c r="H117" s="486">
        <f t="shared" si="47"/>
        <v>90808.382951471998</v>
      </c>
      <c r="I117" s="542">
        <f t="shared" si="48"/>
        <v>90808.382951471998</v>
      </c>
      <c r="J117" s="478">
        <f t="shared" si="32"/>
        <v>0</v>
      </c>
      <c r="K117" s="478"/>
      <c r="L117" s="487"/>
      <c r="M117" s="478">
        <f t="shared" si="49"/>
        <v>0</v>
      </c>
      <c r="N117" s="487"/>
      <c r="O117" s="478">
        <f t="shared" si="36"/>
        <v>0</v>
      </c>
      <c r="P117" s="478">
        <f t="shared" si="37"/>
        <v>0</v>
      </c>
    </row>
    <row r="118" spans="2:16">
      <c r="B118" s="160" t="str">
        <f t="shared" si="31"/>
        <v/>
      </c>
      <c r="C118" s="472">
        <f>IF(D93="","-",+C117+1)</f>
        <v>2032</v>
      </c>
      <c r="D118" s="347">
        <f>IF(F117+SUM(E$99:E117)=D$92,F117,D$92-SUM(E$99:E117))</f>
        <v>569895</v>
      </c>
      <c r="E118" s="484">
        <f t="shared" si="44"/>
        <v>26553</v>
      </c>
      <c r="F118" s="485">
        <f t="shared" si="45"/>
        <v>543342</v>
      </c>
      <c r="G118" s="485">
        <f t="shared" si="46"/>
        <v>556618.5</v>
      </c>
      <c r="H118" s="486">
        <f t="shared" si="47"/>
        <v>87882.702969664868</v>
      </c>
      <c r="I118" s="542">
        <f t="shared" si="48"/>
        <v>87882.702969664868</v>
      </c>
      <c r="J118" s="478">
        <f t="shared" si="32"/>
        <v>0</v>
      </c>
      <c r="K118" s="478"/>
      <c r="L118" s="487"/>
      <c r="M118" s="478">
        <f t="shared" si="49"/>
        <v>0</v>
      </c>
      <c r="N118" s="487"/>
      <c r="O118" s="478">
        <f t="shared" si="36"/>
        <v>0</v>
      </c>
      <c r="P118" s="478">
        <f t="shared" si="37"/>
        <v>0</v>
      </c>
    </row>
    <row r="119" spans="2:16">
      <c r="B119" s="160" t="str">
        <f t="shared" si="31"/>
        <v/>
      </c>
      <c r="C119" s="472">
        <f>IF(D93="","-",+C118+1)</f>
        <v>2033</v>
      </c>
      <c r="D119" s="347">
        <f>IF(F118+SUM(E$99:E118)=D$92,F118,D$92-SUM(E$99:E118))</f>
        <v>543342</v>
      </c>
      <c r="E119" s="484">
        <f t="shared" si="44"/>
        <v>26553</v>
      </c>
      <c r="F119" s="485">
        <f t="shared" si="45"/>
        <v>516789</v>
      </c>
      <c r="G119" s="485">
        <f t="shared" si="46"/>
        <v>530065.5</v>
      </c>
      <c r="H119" s="486">
        <f t="shared" si="47"/>
        <v>84957.022987857737</v>
      </c>
      <c r="I119" s="542">
        <f t="shared" si="48"/>
        <v>84957.022987857737</v>
      </c>
      <c r="J119" s="478">
        <f t="shared" si="32"/>
        <v>0</v>
      </c>
      <c r="K119" s="478"/>
      <c r="L119" s="487"/>
      <c r="M119" s="478">
        <f t="shared" si="49"/>
        <v>0</v>
      </c>
      <c r="N119" s="487"/>
      <c r="O119" s="478">
        <f t="shared" si="36"/>
        <v>0</v>
      </c>
      <c r="P119" s="478">
        <f t="shared" si="37"/>
        <v>0</v>
      </c>
    </row>
    <row r="120" spans="2:16">
      <c r="B120" s="160" t="str">
        <f t="shared" si="31"/>
        <v/>
      </c>
      <c r="C120" s="472">
        <f>IF(D93="","-",+C119+1)</f>
        <v>2034</v>
      </c>
      <c r="D120" s="347">
        <f>IF(F119+SUM(E$99:E119)=D$92,F119,D$92-SUM(E$99:E119))</f>
        <v>516789</v>
      </c>
      <c r="E120" s="484">
        <f t="shared" si="44"/>
        <v>26553</v>
      </c>
      <c r="F120" s="485">
        <f t="shared" si="45"/>
        <v>490236</v>
      </c>
      <c r="G120" s="485">
        <f t="shared" si="46"/>
        <v>503512.5</v>
      </c>
      <c r="H120" s="486">
        <f t="shared" si="47"/>
        <v>82031.343006050607</v>
      </c>
      <c r="I120" s="542">
        <f t="shared" si="48"/>
        <v>82031.343006050607</v>
      </c>
      <c r="J120" s="478">
        <f t="shared" si="32"/>
        <v>0</v>
      </c>
      <c r="K120" s="478"/>
      <c r="L120" s="487"/>
      <c r="M120" s="478">
        <f t="shared" si="49"/>
        <v>0</v>
      </c>
      <c r="N120" s="487"/>
      <c r="O120" s="478">
        <f t="shared" si="36"/>
        <v>0</v>
      </c>
      <c r="P120" s="478">
        <f t="shared" si="37"/>
        <v>0</v>
      </c>
    </row>
    <row r="121" spans="2:16">
      <c r="B121" s="160" t="str">
        <f t="shared" si="31"/>
        <v/>
      </c>
      <c r="C121" s="472">
        <f>IF(D93="","-",+C120+1)</f>
        <v>2035</v>
      </c>
      <c r="D121" s="347">
        <f>IF(F120+SUM(E$99:E120)=D$92,F120,D$92-SUM(E$99:E120))</f>
        <v>490236</v>
      </c>
      <c r="E121" s="484">
        <f t="shared" si="44"/>
        <v>26553</v>
      </c>
      <c r="F121" s="485">
        <f t="shared" si="45"/>
        <v>463683</v>
      </c>
      <c r="G121" s="485">
        <f t="shared" si="46"/>
        <v>476959.5</v>
      </c>
      <c r="H121" s="486">
        <f t="shared" si="47"/>
        <v>79105.663024243491</v>
      </c>
      <c r="I121" s="542">
        <f t="shared" si="48"/>
        <v>79105.663024243491</v>
      </c>
      <c r="J121" s="478">
        <f t="shared" si="32"/>
        <v>0</v>
      </c>
      <c r="K121" s="478"/>
      <c r="L121" s="487"/>
      <c r="M121" s="478">
        <f t="shared" si="49"/>
        <v>0</v>
      </c>
      <c r="N121" s="487"/>
      <c r="O121" s="478">
        <f t="shared" si="36"/>
        <v>0</v>
      </c>
      <c r="P121" s="478">
        <f t="shared" si="37"/>
        <v>0</v>
      </c>
    </row>
    <row r="122" spans="2:16">
      <c r="B122" s="160" t="str">
        <f t="shared" si="31"/>
        <v/>
      </c>
      <c r="C122" s="472">
        <f>IF(D93="","-",+C121+1)</f>
        <v>2036</v>
      </c>
      <c r="D122" s="347">
        <f>IF(F121+SUM(E$99:E121)=D$92,F121,D$92-SUM(E$99:E121))</f>
        <v>463683</v>
      </c>
      <c r="E122" s="484">
        <f t="shared" si="44"/>
        <v>26553</v>
      </c>
      <c r="F122" s="485">
        <f t="shared" si="45"/>
        <v>437130</v>
      </c>
      <c r="G122" s="485">
        <f t="shared" si="46"/>
        <v>450406.5</v>
      </c>
      <c r="H122" s="486">
        <f t="shared" si="47"/>
        <v>76179.983042436361</v>
      </c>
      <c r="I122" s="542">
        <f t="shared" si="48"/>
        <v>76179.983042436361</v>
      </c>
      <c r="J122" s="478">
        <f t="shared" si="32"/>
        <v>0</v>
      </c>
      <c r="K122" s="478"/>
      <c r="L122" s="487"/>
      <c r="M122" s="478">
        <f t="shared" si="49"/>
        <v>0</v>
      </c>
      <c r="N122" s="487"/>
      <c r="O122" s="478">
        <f t="shared" si="36"/>
        <v>0</v>
      </c>
      <c r="P122" s="478">
        <f t="shared" si="37"/>
        <v>0</v>
      </c>
    </row>
    <row r="123" spans="2:16">
      <c r="B123" s="160" t="str">
        <f t="shared" si="31"/>
        <v/>
      </c>
      <c r="C123" s="472">
        <f>IF(D93="","-",+C122+1)</f>
        <v>2037</v>
      </c>
      <c r="D123" s="347">
        <f>IF(F122+SUM(E$99:E122)=D$92,F122,D$92-SUM(E$99:E122))</f>
        <v>437130</v>
      </c>
      <c r="E123" s="484">
        <f t="shared" si="44"/>
        <v>26553</v>
      </c>
      <c r="F123" s="485">
        <f t="shared" si="45"/>
        <v>410577</v>
      </c>
      <c r="G123" s="485">
        <f t="shared" si="46"/>
        <v>423853.5</v>
      </c>
      <c r="H123" s="486">
        <f t="shared" si="47"/>
        <v>73254.30306062923</v>
      </c>
      <c r="I123" s="542">
        <f t="shared" si="48"/>
        <v>73254.30306062923</v>
      </c>
      <c r="J123" s="478">
        <f t="shared" si="32"/>
        <v>0</v>
      </c>
      <c r="K123" s="478"/>
      <c r="L123" s="487"/>
      <c r="M123" s="478">
        <f t="shared" si="49"/>
        <v>0</v>
      </c>
      <c r="N123" s="487"/>
      <c r="O123" s="478">
        <f t="shared" si="36"/>
        <v>0</v>
      </c>
      <c r="P123" s="478">
        <f t="shared" si="37"/>
        <v>0</v>
      </c>
    </row>
    <row r="124" spans="2:16">
      <c r="B124" s="160" t="str">
        <f t="shared" si="31"/>
        <v/>
      </c>
      <c r="C124" s="472">
        <f>IF(D93="","-",+C123+1)</f>
        <v>2038</v>
      </c>
      <c r="D124" s="347">
        <f>IF(F123+SUM(E$99:E123)=D$92,F123,D$92-SUM(E$99:E123))</f>
        <v>410577</v>
      </c>
      <c r="E124" s="484">
        <f t="shared" si="44"/>
        <v>26553</v>
      </c>
      <c r="F124" s="485">
        <f t="shared" si="45"/>
        <v>384024</v>
      </c>
      <c r="G124" s="485">
        <f t="shared" si="46"/>
        <v>397300.5</v>
      </c>
      <c r="H124" s="486">
        <f t="shared" si="47"/>
        <v>70328.6230788221</v>
      </c>
      <c r="I124" s="542">
        <f t="shared" si="48"/>
        <v>70328.6230788221</v>
      </c>
      <c r="J124" s="478">
        <f t="shared" si="32"/>
        <v>0</v>
      </c>
      <c r="K124" s="478"/>
      <c r="L124" s="487"/>
      <c r="M124" s="478">
        <f t="shared" si="49"/>
        <v>0</v>
      </c>
      <c r="N124" s="487"/>
      <c r="O124" s="478">
        <f t="shared" si="36"/>
        <v>0</v>
      </c>
      <c r="P124" s="478">
        <f t="shared" si="37"/>
        <v>0</v>
      </c>
    </row>
    <row r="125" spans="2:16">
      <c r="B125" s="160" t="str">
        <f t="shared" si="31"/>
        <v/>
      </c>
      <c r="C125" s="472">
        <f>IF(D93="","-",+C124+1)</f>
        <v>2039</v>
      </c>
      <c r="D125" s="347">
        <f>IF(F124+SUM(E$99:E124)=D$92,F124,D$92-SUM(E$99:E124))</f>
        <v>384024</v>
      </c>
      <c r="E125" s="484">
        <f t="shared" si="44"/>
        <v>26553</v>
      </c>
      <c r="F125" s="485">
        <f t="shared" si="45"/>
        <v>357471</v>
      </c>
      <c r="G125" s="485">
        <f t="shared" si="46"/>
        <v>370747.5</v>
      </c>
      <c r="H125" s="486">
        <f t="shared" si="47"/>
        <v>67402.94309701497</v>
      </c>
      <c r="I125" s="542">
        <f t="shared" si="48"/>
        <v>67402.94309701497</v>
      </c>
      <c r="J125" s="478">
        <f t="shared" si="32"/>
        <v>0</v>
      </c>
      <c r="K125" s="478"/>
      <c r="L125" s="487"/>
      <c r="M125" s="478">
        <f t="shared" si="49"/>
        <v>0</v>
      </c>
      <c r="N125" s="487"/>
      <c r="O125" s="478">
        <f t="shared" si="36"/>
        <v>0</v>
      </c>
      <c r="P125" s="478">
        <f t="shared" si="37"/>
        <v>0</v>
      </c>
    </row>
    <row r="126" spans="2:16">
      <c r="B126" s="160" t="str">
        <f t="shared" si="31"/>
        <v/>
      </c>
      <c r="C126" s="472">
        <f>IF(D93="","-",+C125+1)</f>
        <v>2040</v>
      </c>
      <c r="D126" s="347">
        <f>IF(F125+SUM(E$99:E125)=D$92,F125,D$92-SUM(E$99:E125))</f>
        <v>357471</v>
      </c>
      <c r="E126" s="484">
        <f t="shared" si="44"/>
        <v>26553</v>
      </c>
      <c r="F126" s="485">
        <f t="shared" si="45"/>
        <v>330918</v>
      </c>
      <c r="G126" s="485">
        <f t="shared" si="46"/>
        <v>344194.5</v>
      </c>
      <c r="H126" s="486">
        <f t="shared" si="47"/>
        <v>64477.263115207839</v>
      </c>
      <c r="I126" s="542">
        <f t="shared" si="48"/>
        <v>64477.263115207839</v>
      </c>
      <c r="J126" s="478">
        <f t="shared" si="32"/>
        <v>0</v>
      </c>
      <c r="K126" s="478"/>
      <c r="L126" s="487"/>
      <c r="M126" s="478">
        <f t="shared" si="49"/>
        <v>0</v>
      </c>
      <c r="N126" s="487"/>
      <c r="O126" s="478">
        <f t="shared" si="36"/>
        <v>0</v>
      </c>
      <c r="P126" s="478">
        <f t="shared" si="37"/>
        <v>0</v>
      </c>
    </row>
    <row r="127" spans="2:16">
      <c r="B127" s="160" t="str">
        <f t="shared" si="31"/>
        <v/>
      </c>
      <c r="C127" s="472">
        <f>IF(D93="","-",+C126+1)</f>
        <v>2041</v>
      </c>
      <c r="D127" s="347">
        <f>IF(F126+SUM(E$99:E126)=D$92,F126,D$92-SUM(E$99:E126))</f>
        <v>330918</v>
      </c>
      <c r="E127" s="484">
        <f t="shared" si="44"/>
        <v>26553</v>
      </c>
      <c r="F127" s="485">
        <f t="shared" si="45"/>
        <v>304365</v>
      </c>
      <c r="G127" s="485">
        <f t="shared" si="46"/>
        <v>317641.5</v>
      </c>
      <c r="H127" s="486">
        <f t="shared" si="47"/>
        <v>61551.583133400709</v>
      </c>
      <c r="I127" s="542">
        <f t="shared" si="48"/>
        <v>61551.583133400709</v>
      </c>
      <c r="J127" s="478">
        <f t="shared" si="32"/>
        <v>0</v>
      </c>
      <c r="K127" s="478"/>
      <c r="L127" s="487"/>
      <c r="M127" s="478">
        <f t="shared" si="49"/>
        <v>0</v>
      </c>
      <c r="N127" s="487"/>
      <c r="O127" s="478">
        <f t="shared" si="36"/>
        <v>0</v>
      </c>
      <c r="P127" s="478">
        <f t="shared" si="37"/>
        <v>0</v>
      </c>
    </row>
    <row r="128" spans="2:16">
      <c r="B128" s="160" t="str">
        <f t="shared" si="31"/>
        <v/>
      </c>
      <c r="C128" s="472">
        <f>IF(D93="","-",+C127+1)</f>
        <v>2042</v>
      </c>
      <c r="D128" s="347">
        <f>IF(F127+SUM(E$99:E127)=D$92,F127,D$92-SUM(E$99:E127))</f>
        <v>304365</v>
      </c>
      <c r="E128" s="484">
        <f t="shared" si="44"/>
        <v>26553</v>
      </c>
      <c r="F128" s="485">
        <f t="shared" si="45"/>
        <v>277812</v>
      </c>
      <c r="G128" s="485">
        <f t="shared" si="46"/>
        <v>291088.5</v>
      </c>
      <c r="H128" s="486">
        <f t="shared" si="47"/>
        <v>58625.903151593579</v>
      </c>
      <c r="I128" s="542">
        <f t="shared" si="48"/>
        <v>58625.903151593579</v>
      </c>
      <c r="J128" s="478">
        <f t="shared" si="32"/>
        <v>0</v>
      </c>
      <c r="K128" s="478"/>
      <c r="L128" s="487"/>
      <c r="M128" s="478">
        <f t="shared" si="49"/>
        <v>0</v>
      </c>
      <c r="N128" s="487"/>
      <c r="O128" s="478">
        <f t="shared" si="36"/>
        <v>0</v>
      </c>
      <c r="P128" s="478">
        <f t="shared" si="37"/>
        <v>0</v>
      </c>
    </row>
    <row r="129" spans="2:16">
      <c r="B129" s="160" t="str">
        <f t="shared" si="31"/>
        <v/>
      </c>
      <c r="C129" s="472">
        <f>IF(D93="","-",+C128+1)</f>
        <v>2043</v>
      </c>
      <c r="D129" s="347">
        <f>IF(F128+SUM(E$99:E128)=D$92,F128,D$92-SUM(E$99:E128))</f>
        <v>277812</v>
      </c>
      <c r="E129" s="484">
        <f t="shared" si="44"/>
        <v>26553</v>
      </c>
      <c r="F129" s="485">
        <f t="shared" si="45"/>
        <v>251259</v>
      </c>
      <c r="G129" s="485">
        <f t="shared" si="46"/>
        <v>264535.5</v>
      </c>
      <c r="H129" s="486">
        <f t="shared" si="47"/>
        <v>55700.223169786448</v>
      </c>
      <c r="I129" s="542">
        <f t="shared" si="48"/>
        <v>55700.223169786448</v>
      </c>
      <c r="J129" s="478">
        <f t="shared" si="32"/>
        <v>0</v>
      </c>
      <c r="K129" s="478"/>
      <c r="L129" s="487"/>
      <c r="M129" s="478">
        <f t="shared" si="49"/>
        <v>0</v>
      </c>
      <c r="N129" s="487"/>
      <c r="O129" s="478">
        <f t="shared" si="36"/>
        <v>0</v>
      </c>
      <c r="P129" s="478">
        <f t="shared" si="37"/>
        <v>0</v>
      </c>
    </row>
    <row r="130" spans="2:16">
      <c r="B130" s="160" t="str">
        <f t="shared" si="31"/>
        <v/>
      </c>
      <c r="C130" s="472">
        <f>IF(D93="","-",+C129+1)</f>
        <v>2044</v>
      </c>
      <c r="D130" s="347">
        <f>IF(F129+SUM(E$99:E129)=D$92,F129,D$92-SUM(E$99:E129))</f>
        <v>251259</v>
      </c>
      <c r="E130" s="484">
        <f t="shared" si="44"/>
        <v>26553</v>
      </c>
      <c r="F130" s="485">
        <f t="shared" si="45"/>
        <v>224706</v>
      </c>
      <c r="G130" s="485">
        <f t="shared" si="46"/>
        <v>237982.5</v>
      </c>
      <c r="H130" s="486">
        <f t="shared" si="47"/>
        <v>52774.543187979325</v>
      </c>
      <c r="I130" s="542">
        <f t="shared" si="48"/>
        <v>52774.543187979325</v>
      </c>
      <c r="J130" s="478">
        <f t="shared" si="32"/>
        <v>0</v>
      </c>
      <c r="K130" s="478"/>
      <c r="L130" s="487"/>
      <c r="M130" s="478">
        <f t="shared" si="49"/>
        <v>0</v>
      </c>
      <c r="N130" s="487"/>
      <c r="O130" s="478">
        <f t="shared" si="36"/>
        <v>0</v>
      </c>
      <c r="P130" s="478">
        <f t="shared" si="37"/>
        <v>0</v>
      </c>
    </row>
    <row r="131" spans="2:16">
      <c r="B131" s="160" t="str">
        <f t="shared" si="31"/>
        <v/>
      </c>
      <c r="C131" s="472">
        <f>IF(D93="","-",+C130+1)</f>
        <v>2045</v>
      </c>
      <c r="D131" s="347">
        <f>IF(F130+SUM(E$99:E130)=D$92,F130,D$92-SUM(E$99:E130))</f>
        <v>224706</v>
      </c>
      <c r="E131" s="484">
        <f t="shared" si="44"/>
        <v>26553</v>
      </c>
      <c r="F131" s="485">
        <f t="shared" si="45"/>
        <v>198153</v>
      </c>
      <c r="G131" s="485">
        <f t="shared" si="46"/>
        <v>211429.5</v>
      </c>
      <c r="H131" s="486">
        <f t="shared" si="47"/>
        <v>49848.863206172195</v>
      </c>
      <c r="I131" s="542">
        <f t="shared" si="48"/>
        <v>49848.863206172195</v>
      </c>
      <c r="J131" s="478">
        <f t="shared" si="32"/>
        <v>0</v>
      </c>
      <c r="K131" s="478"/>
      <c r="L131" s="487"/>
      <c r="M131" s="478">
        <f t="shared" ref="M131:M154" si="50">IF(L541&lt;&gt;0,+H541-L541,0)</f>
        <v>0</v>
      </c>
      <c r="N131" s="487"/>
      <c r="O131" s="478">
        <f t="shared" ref="O131:O154" si="51">IF(N541&lt;&gt;0,+I541-N541,0)</f>
        <v>0</v>
      </c>
      <c r="P131" s="478">
        <f t="shared" ref="P131:P154" si="52">+O541-M541</f>
        <v>0</v>
      </c>
    </row>
    <row r="132" spans="2:16">
      <c r="B132" s="160" t="str">
        <f t="shared" si="31"/>
        <v/>
      </c>
      <c r="C132" s="472">
        <f>IF(D93="","-",+C131+1)</f>
        <v>2046</v>
      </c>
      <c r="D132" s="347">
        <f>IF(F131+SUM(E$99:E131)=D$92,F131,D$92-SUM(E$99:E131))</f>
        <v>198153</v>
      </c>
      <c r="E132" s="484">
        <f t="shared" si="44"/>
        <v>26553</v>
      </c>
      <c r="F132" s="485">
        <f t="shared" si="45"/>
        <v>171600</v>
      </c>
      <c r="G132" s="485">
        <f t="shared" si="46"/>
        <v>184876.5</v>
      </c>
      <c r="H132" s="486">
        <f t="shared" si="47"/>
        <v>46923.183224365072</v>
      </c>
      <c r="I132" s="542">
        <f t="shared" si="48"/>
        <v>46923.183224365072</v>
      </c>
      <c r="J132" s="478">
        <f t="shared" si="32"/>
        <v>0</v>
      </c>
      <c r="K132" s="478"/>
      <c r="L132" s="487"/>
      <c r="M132" s="478">
        <f t="shared" si="50"/>
        <v>0</v>
      </c>
      <c r="N132" s="487"/>
      <c r="O132" s="478">
        <f t="shared" si="51"/>
        <v>0</v>
      </c>
      <c r="P132" s="478">
        <f t="shared" si="52"/>
        <v>0</v>
      </c>
    </row>
    <row r="133" spans="2:16">
      <c r="B133" s="160" t="str">
        <f t="shared" si="31"/>
        <v/>
      </c>
      <c r="C133" s="472">
        <f>IF(D93="","-",+C132+1)</f>
        <v>2047</v>
      </c>
      <c r="D133" s="347">
        <f>IF(F132+SUM(E$99:E132)=D$92,F132,D$92-SUM(E$99:E132))</f>
        <v>171600</v>
      </c>
      <c r="E133" s="484">
        <f t="shared" si="44"/>
        <v>26553</v>
      </c>
      <c r="F133" s="485">
        <f t="shared" si="45"/>
        <v>145047</v>
      </c>
      <c r="G133" s="485">
        <f t="shared" si="46"/>
        <v>158323.5</v>
      </c>
      <c r="H133" s="486">
        <f t="shared" si="47"/>
        <v>43997.503242557941</v>
      </c>
      <c r="I133" s="542">
        <f t="shared" si="48"/>
        <v>43997.503242557941</v>
      </c>
      <c r="J133" s="478">
        <f t="shared" si="32"/>
        <v>0</v>
      </c>
      <c r="K133" s="478"/>
      <c r="L133" s="487"/>
      <c r="M133" s="478">
        <f t="shared" si="50"/>
        <v>0</v>
      </c>
      <c r="N133" s="487"/>
      <c r="O133" s="478">
        <f t="shared" si="51"/>
        <v>0</v>
      </c>
      <c r="P133" s="478">
        <f t="shared" si="52"/>
        <v>0</v>
      </c>
    </row>
    <row r="134" spans="2:16">
      <c r="B134" s="160" t="str">
        <f t="shared" si="31"/>
        <v/>
      </c>
      <c r="C134" s="472">
        <f>IF(D93="","-",+C133+1)</f>
        <v>2048</v>
      </c>
      <c r="D134" s="347">
        <f>IF(F133+SUM(E$99:E133)=D$92,F133,D$92-SUM(E$99:E133))</f>
        <v>145047</v>
      </c>
      <c r="E134" s="484">
        <f t="shared" si="44"/>
        <v>26553</v>
      </c>
      <c r="F134" s="485">
        <f t="shared" si="45"/>
        <v>118494</v>
      </c>
      <c r="G134" s="485">
        <f t="shared" si="46"/>
        <v>131770.5</v>
      </c>
      <c r="H134" s="486">
        <f t="shared" si="47"/>
        <v>41071.823260750811</v>
      </c>
      <c r="I134" s="542">
        <f t="shared" si="48"/>
        <v>41071.823260750811</v>
      </c>
      <c r="J134" s="478">
        <f t="shared" si="32"/>
        <v>0</v>
      </c>
      <c r="K134" s="478"/>
      <c r="L134" s="487"/>
      <c r="M134" s="478">
        <f t="shared" si="50"/>
        <v>0</v>
      </c>
      <c r="N134" s="487"/>
      <c r="O134" s="478">
        <f t="shared" si="51"/>
        <v>0</v>
      </c>
      <c r="P134" s="478">
        <f t="shared" si="52"/>
        <v>0</v>
      </c>
    </row>
    <row r="135" spans="2:16">
      <c r="B135" s="160" t="str">
        <f t="shared" si="31"/>
        <v/>
      </c>
      <c r="C135" s="472">
        <f>IF(D93="","-",+C134+1)</f>
        <v>2049</v>
      </c>
      <c r="D135" s="347">
        <f>IF(F134+SUM(E$99:E134)=D$92,F134,D$92-SUM(E$99:E134))</f>
        <v>118494</v>
      </c>
      <c r="E135" s="484">
        <f t="shared" si="44"/>
        <v>26553</v>
      </c>
      <c r="F135" s="485">
        <f t="shared" si="45"/>
        <v>91941</v>
      </c>
      <c r="G135" s="485">
        <f t="shared" si="46"/>
        <v>105217.5</v>
      </c>
      <c r="H135" s="486">
        <f t="shared" si="47"/>
        <v>38146.14327894368</v>
      </c>
      <c r="I135" s="542">
        <f t="shared" si="48"/>
        <v>38146.14327894368</v>
      </c>
      <c r="J135" s="478">
        <f t="shared" si="32"/>
        <v>0</v>
      </c>
      <c r="K135" s="478"/>
      <c r="L135" s="487"/>
      <c r="M135" s="478">
        <f t="shared" si="50"/>
        <v>0</v>
      </c>
      <c r="N135" s="487"/>
      <c r="O135" s="478">
        <f t="shared" si="51"/>
        <v>0</v>
      </c>
      <c r="P135" s="478">
        <f t="shared" si="52"/>
        <v>0</v>
      </c>
    </row>
    <row r="136" spans="2:16">
      <c r="B136" s="160" t="str">
        <f t="shared" si="31"/>
        <v/>
      </c>
      <c r="C136" s="472">
        <f>IF(D93="","-",+C135+1)</f>
        <v>2050</v>
      </c>
      <c r="D136" s="347">
        <f>IF(F135+SUM(E$99:E135)=D$92,F135,D$92-SUM(E$99:E135))</f>
        <v>91941</v>
      </c>
      <c r="E136" s="484">
        <f t="shared" si="44"/>
        <v>26553</v>
      </c>
      <c r="F136" s="485">
        <f t="shared" si="45"/>
        <v>65388</v>
      </c>
      <c r="G136" s="485">
        <f t="shared" si="46"/>
        <v>78664.5</v>
      </c>
      <c r="H136" s="486">
        <f t="shared" si="47"/>
        <v>35220.46329713655</v>
      </c>
      <c r="I136" s="542">
        <f t="shared" si="48"/>
        <v>35220.46329713655</v>
      </c>
      <c r="J136" s="478">
        <f t="shared" si="32"/>
        <v>0</v>
      </c>
      <c r="K136" s="478"/>
      <c r="L136" s="487"/>
      <c r="M136" s="478">
        <f t="shared" si="50"/>
        <v>0</v>
      </c>
      <c r="N136" s="487"/>
      <c r="O136" s="478">
        <f t="shared" si="51"/>
        <v>0</v>
      </c>
      <c r="P136" s="478">
        <f t="shared" si="52"/>
        <v>0</v>
      </c>
    </row>
    <row r="137" spans="2:16">
      <c r="B137" s="160" t="str">
        <f t="shared" si="31"/>
        <v/>
      </c>
      <c r="C137" s="472">
        <f>IF(D93="","-",+C136+1)</f>
        <v>2051</v>
      </c>
      <c r="D137" s="347">
        <f>IF(F136+SUM(E$99:E136)=D$92,F136,D$92-SUM(E$99:E136))</f>
        <v>65388</v>
      </c>
      <c r="E137" s="484">
        <f t="shared" si="44"/>
        <v>26553</v>
      </c>
      <c r="F137" s="485">
        <f t="shared" si="45"/>
        <v>38835</v>
      </c>
      <c r="G137" s="485">
        <f t="shared" si="46"/>
        <v>52111.5</v>
      </c>
      <c r="H137" s="486">
        <f t="shared" si="47"/>
        <v>32294.783315329423</v>
      </c>
      <c r="I137" s="542">
        <f t="shared" si="48"/>
        <v>32294.783315329423</v>
      </c>
      <c r="J137" s="478">
        <f t="shared" si="32"/>
        <v>0</v>
      </c>
      <c r="K137" s="478"/>
      <c r="L137" s="487"/>
      <c r="M137" s="478">
        <f t="shared" si="50"/>
        <v>0</v>
      </c>
      <c r="N137" s="487"/>
      <c r="O137" s="478">
        <f t="shared" si="51"/>
        <v>0</v>
      </c>
      <c r="P137" s="478">
        <f t="shared" si="52"/>
        <v>0</v>
      </c>
    </row>
    <row r="138" spans="2:16">
      <c r="B138" s="160" t="str">
        <f t="shared" si="31"/>
        <v/>
      </c>
      <c r="C138" s="472">
        <f>IF(D93="","-",+C137+1)</f>
        <v>2052</v>
      </c>
      <c r="D138" s="347">
        <f>IF(F137+SUM(E$99:E137)=D$92,F137,D$92-SUM(E$99:E137))</f>
        <v>38835</v>
      </c>
      <c r="E138" s="484">
        <f t="shared" si="44"/>
        <v>26553</v>
      </c>
      <c r="F138" s="485">
        <f t="shared" si="45"/>
        <v>12282</v>
      </c>
      <c r="G138" s="485">
        <f t="shared" si="46"/>
        <v>25558.5</v>
      </c>
      <c r="H138" s="486">
        <f t="shared" si="47"/>
        <v>29369.103333522296</v>
      </c>
      <c r="I138" s="542">
        <f t="shared" si="48"/>
        <v>29369.103333522296</v>
      </c>
      <c r="J138" s="478">
        <f t="shared" si="32"/>
        <v>0</v>
      </c>
      <c r="K138" s="478"/>
      <c r="L138" s="487"/>
      <c r="M138" s="478">
        <f t="shared" si="50"/>
        <v>0</v>
      </c>
      <c r="N138" s="487"/>
      <c r="O138" s="478">
        <f t="shared" si="51"/>
        <v>0</v>
      </c>
      <c r="P138" s="478">
        <f t="shared" si="52"/>
        <v>0</v>
      </c>
    </row>
    <row r="139" spans="2:16">
      <c r="B139" s="160" t="str">
        <f t="shared" si="31"/>
        <v/>
      </c>
      <c r="C139" s="472">
        <f>IF(D93="","-",+C138+1)</f>
        <v>2053</v>
      </c>
      <c r="D139" s="347">
        <f>IF(F138+SUM(E$99:E138)=D$92,F138,D$92-SUM(E$99:E138))</f>
        <v>12282</v>
      </c>
      <c r="E139" s="484">
        <f t="shared" si="44"/>
        <v>12282</v>
      </c>
      <c r="F139" s="485">
        <f t="shared" si="45"/>
        <v>0</v>
      </c>
      <c r="G139" s="485">
        <f t="shared" si="46"/>
        <v>6141</v>
      </c>
      <c r="H139" s="486">
        <f t="shared" si="47"/>
        <v>12958.631671309366</v>
      </c>
      <c r="I139" s="542">
        <f t="shared" si="48"/>
        <v>12958.631671309366</v>
      </c>
      <c r="J139" s="478">
        <f t="shared" si="32"/>
        <v>0</v>
      </c>
      <c r="K139" s="478"/>
      <c r="L139" s="487"/>
      <c r="M139" s="478">
        <f t="shared" si="50"/>
        <v>0</v>
      </c>
      <c r="N139" s="487"/>
      <c r="O139" s="478">
        <f t="shared" si="51"/>
        <v>0</v>
      </c>
      <c r="P139" s="478">
        <f t="shared" si="52"/>
        <v>0</v>
      </c>
    </row>
    <row r="140" spans="2:16">
      <c r="B140" s="160" t="str">
        <f t="shared" si="31"/>
        <v/>
      </c>
      <c r="C140" s="472">
        <f>IF(D93="","-",+C139+1)</f>
        <v>2054</v>
      </c>
      <c r="D140" s="347">
        <f>IF(F139+SUM(E$99:E139)=D$92,F139,D$92-SUM(E$99:E139))</f>
        <v>0</v>
      </c>
      <c r="E140" s="484">
        <f t="shared" si="44"/>
        <v>0</v>
      </c>
      <c r="F140" s="485">
        <f t="shared" si="45"/>
        <v>0</v>
      </c>
      <c r="G140" s="485">
        <f t="shared" si="46"/>
        <v>0</v>
      </c>
      <c r="H140" s="486">
        <f t="shared" si="47"/>
        <v>0</v>
      </c>
      <c r="I140" s="542">
        <f t="shared" si="48"/>
        <v>0</v>
      </c>
      <c r="J140" s="478">
        <f t="shared" si="32"/>
        <v>0</v>
      </c>
      <c r="K140" s="478"/>
      <c r="L140" s="487"/>
      <c r="M140" s="478">
        <f t="shared" si="50"/>
        <v>0</v>
      </c>
      <c r="N140" s="487"/>
      <c r="O140" s="478">
        <f t="shared" si="51"/>
        <v>0</v>
      </c>
      <c r="P140" s="478">
        <f t="shared" si="52"/>
        <v>0</v>
      </c>
    </row>
    <row r="141" spans="2:16">
      <c r="B141" s="160" t="str">
        <f t="shared" si="31"/>
        <v/>
      </c>
      <c r="C141" s="472">
        <f>IF(D93="","-",+C140+1)</f>
        <v>2055</v>
      </c>
      <c r="D141" s="347">
        <f>IF(F140+SUM(E$99:E140)=D$92,F140,D$92-SUM(E$99:E140))</f>
        <v>0</v>
      </c>
      <c r="E141" s="484">
        <f t="shared" si="44"/>
        <v>0</v>
      </c>
      <c r="F141" s="485">
        <f t="shared" si="45"/>
        <v>0</v>
      </c>
      <c r="G141" s="485">
        <f t="shared" si="46"/>
        <v>0</v>
      </c>
      <c r="H141" s="486">
        <f t="shared" si="47"/>
        <v>0</v>
      </c>
      <c r="I141" s="542">
        <f t="shared" si="48"/>
        <v>0</v>
      </c>
      <c r="J141" s="478">
        <f t="shared" si="32"/>
        <v>0</v>
      </c>
      <c r="K141" s="478"/>
      <c r="L141" s="487"/>
      <c r="M141" s="478">
        <f t="shared" si="50"/>
        <v>0</v>
      </c>
      <c r="N141" s="487"/>
      <c r="O141" s="478">
        <f t="shared" si="51"/>
        <v>0</v>
      </c>
      <c r="P141" s="478">
        <f t="shared" si="52"/>
        <v>0</v>
      </c>
    </row>
    <row r="142" spans="2:16">
      <c r="B142" s="160" t="str">
        <f t="shared" si="31"/>
        <v/>
      </c>
      <c r="C142" s="472">
        <f>IF(D93="","-",+C141+1)</f>
        <v>2056</v>
      </c>
      <c r="D142" s="347">
        <f>IF(F141+SUM(E$99:E141)=D$92,F141,D$92-SUM(E$99:E141))</f>
        <v>0</v>
      </c>
      <c r="E142" s="484">
        <f t="shared" si="44"/>
        <v>0</v>
      </c>
      <c r="F142" s="485">
        <f t="shared" si="45"/>
        <v>0</v>
      </c>
      <c r="G142" s="485">
        <f t="shared" si="46"/>
        <v>0</v>
      </c>
      <c r="H142" s="486">
        <f t="shared" si="47"/>
        <v>0</v>
      </c>
      <c r="I142" s="542">
        <f t="shared" si="48"/>
        <v>0</v>
      </c>
      <c r="J142" s="478">
        <f t="shared" si="32"/>
        <v>0</v>
      </c>
      <c r="K142" s="478"/>
      <c r="L142" s="487"/>
      <c r="M142" s="478">
        <f t="shared" si="50"/>
        <v>0</v>
      </c>
      <c r="N142" s="487"/>
      <c r="O142" s="478">
        <f t="shared" si="51"/>
        <v>0</v>
      </c>
      <c r="P142" s="478">
        <f t="shared" si="52"/>
        <v>0</v>
      </c>
    </row>
    <row r="143" spans="2:16">
      <c r="B143" s="160" t="str">
        <f t="shared" si="31"/>
        <v/>
      </c>
      <c r="C143" s="472">
        <f>IF(D93="","-",+C142+1)</f>
        <v>2057</v>
      </c>
      <c r="D143" s="347">
        <f>IF(F142+SUM(E$99:E142)=D$92,F142,D$92-SUM(E$99:E142))</f>
        <v>0</v>
      </c>
      <c r="E143" s="484">
        <f t="shared" si="44"/>
        <v>0</v>
      </c>
      <c r="F143" s="485">
        <f t="shared" si="45"/>
        <v>0</v>
      </c>
      <c r="G143" s="485">
        <f t="shared" si="46"/>
        <v>0</v>
      </c>
      <c r="H143" s="486">
        <f t="shared" si="47"/>
        <v>0</v>
      </c>
      <c r="I143" s="542">
        <f t="shared" si="48"/>
        <v>0</v>
      </c>
      <c r="J143" s="478">
        <f t="shared" si="32"/>
        <v>0</v>
      </c>
      <c r="K143" s="478"/>
      <c r="L143" s="487"/>
      <c r="M143" s="478">
        <f t="shared" si="50"/>
        <v>0</v>
      </c>
      <c r="N143" s="487"/>
      <c r="O143" s="478">
        <f t="shared" si="51"/>
        <v>0</v>
      </c>
      <c r="P143" s="478">
        <f t="shared" si="52"/>
        <v>0</v>
      </c>
    </row>
    <row r="144" spans="2:16">
      <c r="B144" s="160" t="str">
        <f t="shared" si="31"/>
        <v/>
      </c>
      <c r="C144" s="472">
        <f>IF(D93="","-",+C143+1)</f>
        <v>2058</v>
      </c>
      <c r="D144" s="347">
        <f>IF(F143+SUM(E$99:E143)=D$92,F143,D$92-SUM(E$99:E143))</f>
        <v>0</v>
      </c>
      <c r="E144" s="484">
        <f t="shared" si="44"/>
        <v>0</v>
      </c>
      <c r="F144" s="485">
        <f t="shared" si="45"/>
        <v>0</v>
      </c>
      <c r="G144" s="485">
        <f t="shared" si="46"/>
        <v>0</v>
      </c>
      <c r="H144" s="486">
        <f t="shared" si="47"/>
        <v>0</v>
      </c>
      <c r="I144" s="542">
        <f t="shared" si="48"/>
        <v>0</v>
      </c>
      <c r="J144" s="478">
        <f t="shared" si="32"/>
        <v>0</v>
      </c>
      <c r="K144" s="478"/>
      <c r="L144" s="487"/>
      <c r="M144" s="478">
        <f t="shared" si="50"/>
        <v>0</v>
      </c>
      <c r="N144" s="487"/>
      <c r="O144" s="478">
        <f t="shared" si="51"/>
        <v>0</v>
      </c>
      <c r="P144" s="478">
        <f t="shared" si="52"/>
        <v>0</v>
      </c>
    </row>
    <row r="145" spans="2:16">
      <c r="B145" s="160" t="str">
        <f t="shared" si="31"/>
        <v/>
      </c>
      <c r="C145" s="472">
        <f>IF(D93="","-",+C144+1)</f>
        <v>2059</v>
      </c>
      <c r="D145" s="347">
        <f>IF(F144+SUM(E$99:E144)=D$92,F144,D$92-SUM(E$99:E144))</f>
        <v>0</v>
      </c>
      <c r="E145" s="484">
        <f t="shared" si="44"/>
        <v>0</v>
      </c>
      <c r="F145" s="485">
        <f t="shared" si="45"/>
        <v>0</v>
      </c>
      <c r="G145" s="485">
        <f t="shared" si="46"/>
        <v>0</v>
      </c>
      <c r="H145" s="486">
        <f t="shared" si="47"/>
        <v>0</v>
      </c>
      <c r="I145" s="542">
        <f t="shared" si="48"/>
        <v>0</v>
      </c>
      <c r="J145" s="478">
        <f t="shared" si="32"/>
        <v>0</v>
      </c>
      <c r="K145" s="478"/>
      <c r="L145" s="487"/>
      <c r="M145" s="478">
        <f t="shared" si="50"/>
        <v>0</v>
      </c>
      <c r="N145" s="487"/>
      <c r="O145" s="478">
        <f t="shared" si="51"/>
        <v>0</v>
      </c>
      <c r="P145" s="478">
        <f t="shared" si="52"/>
        <v>0</v>
      </c>
    </row>
    <row r="146" spans="2:16">
      <c r="B146" s="160" t="str">
        <f t="shared" si="31"/>
        <v/>
      </c>
      <c r="C146" s="472">
        <f>IF(D93="","-",+C145+1)</f>
        <v>2060</v>
      </c>
      <c r="D146" s="347">
        <f>IF(F145+SUM(E$99:E145)=D$92,F145,D$92-SUM(E$99:E145))</f>
        <v>0</v>
      </c>
      <c r="E146" s="484">
        <f t="shared" si="44"/>
        <v>0</v>
      </c>
      <c r="F146" s="485">
        <f t="shared" si="45"/>
        <v>0</v>
      </c>
      <c r="G146" s="485">
        <f t="shared" si="46"/>
        <v>0</v>
      </c>
      <c r="H146" s="486">
        <f t="shared" si="47"/>
        <v>0</v>
      </c>
      <c r="I146" s="542">
        <f t="shared" si="48"/>
        <v>0</v>
      </c>
      <c r="J146" s="478">
        <f t="shared" si="32"/>
        <v>0</v>
      </c>
      <c r="K146" s="478"/>
      <c r="L146" s="487"/>
      <c r="M146" s="478">
        <f t="shared" si="50"/>
        <v>0</v>
      </c>
      <c r="N146" s="487"/>
      <c r="O146" s="478">
        <f t="shared" si="51"/>
        <v>0</v>
      </c>
      <c r="P146" s="478">
        <f t="shared" si="52"/>
        <v>0</v>
      </c>
    </row>
    <row r="147" spans="2:16">
      <c r="B147" s="160" t="str">
        <f t="shared" si="31"/>
        <v/>
      </c>
      <c r="C147" s="472">
        <f>IF(D93="","-",+C146+1)</f>
        <v>2061</v>
      </c>
      <c r="D147" s="347">
        <f>IF(F146+SUM(E$99:E146)=D$92,F146,D$92-SUM(E$99:E146))</f>
        <v>0</v>
      </c>
      <c r="E147" s="484">
        <f t="shared" si="44"/>
        <v>0</v>
      </c>
      <c r="F147" s="485">
        <f t="shared" si="45"/>
        <v>0</v>
      </c>
      <c r="G147" s="485">
        <f t="shared" si="46"/>
        <v>0</v>
      </c>
      <c r="H147" s="486">
        <f t="shared" si="47"/>
        <v>0</v>
      </c>
      <c r="I147" s="542">
        <f t="shared" si="48"/>
        <v>0</v>
      </c>
      <c r="J147" s="478">
        <f t="shared" si="32"/>
        <v>0</v>
      </c>
      <c r="K147" s="478"/>
      <c r="L147" s="487"/>
      <c r="M147" s="478">
        <f t="shared" si="50"/>
        <v>0</v>
      </c>
      <c r="N147" s="487"/>
      <c r="O147" s="478">
        <f t="shared" si="51"/>
        <v>0</v>
      </c>
      <c r="P147" s="478">
        <f t="shared" si="52"/>
        <v>0</v>
      </c>
    </row>
    <row r="148" spans="2:16">
      <c r="B148" s="160" t="str">
        <f t="shared" si="31"/>
        <v/>
      </c>
      <c r="C148" s="472">
        <f>IF(D93="","-",+C147+1)</f>
        <v>2062</v>
      </c>
      <c r="D148" s="347">
        <f>IF(F147+SUM(E$99:E147)=D$92,F147,D$92-SUM(E$99:E147))</f>
        <v>0</v>
      </c>
      <c r="E148" s="484">
        <f t="shared" si="44"/>
        <v>0</v>
      </c>
      <c r="F148" s="485">
        <f t="shared" si="45"/>
        <v>0</v>
      </c>
      <c r="G148" s="485">
        <f t="shared" si="46"/>
        <v>0</v>
      </c>
      <c r="H148" s="486">
        <f t="shared" si="47"/>
        <v>0</v>
      </c>
      <c r="I148" s="542">
        <f t="shared" si="48"/>
        <v>0</v>
      </c>
      <c r="J148" s="478">
        <f t="shared" si="32"/>
        <v>0</v>
      </c>
      <c r="K148" s="478"/>
      <c r="L148" s="487"/>
      <c r="M148" s="478">
        <f t="shared" si="50"/>
        <v>0</v>
      </c>
      <c r="N148" s="487"/>
      <c r="O148" s="478">
        <f t="shared" si="51"/>
        <v>0</v>
      </c>
      <c r="P148" s="478">
        <f t="shared" si="52"/>
        <v>0</v>
      </c>
    </row>
    <row r="149" spans="2:16">
      <c r="B149" s="160" t="str">
        <f t="shared" si="31"/>
        <v/>
      </c>
      <c r="C149" s="472">
        <f>IF(D93="","-",+C148+1)</f>
        <v>2063</v>
      </c>
      <c r="D149" s="347">
        <f>IF(F148+SUM(E$99:E148)=D$92,F148,D$92-SUM(E$99:E148))</f>
        <v>0</v>
      </c>
      <c r="E149" s="484">
        <f t="shared" si="44"/>
        <v>0</v>
      </c>
      <c r="F149" s="485">
        <f t="shared" si="45"/>
        <v>0</v>
      </c>
      <c r="G149" s="485">
        <f t="shared" si="46"/>
        <v>0</v>
      </c>
      <c r="H149" s="486">
        <f t="shared" si="47"/>
        <v>0</v>
      </c>
      <c r="I149" s="542">
        <f t="shared" si="48"/>
        <v>0</v>
      </c>
      <c r="J149" s="478">
        <f t="shared" si="32"/>
        <v>0</v>
      </c>
      <c r="K149" s="478"/>
      <c r="L149" s="487"/>
      <c r="M149" s="478">
        <f t="shared" si="50"/>
        <v>0</v>
      </c>
      <c r="N149" s="487"/>
      <c r="O149" s="478">
        <f t="shared" si="51"/>
        <v>0</v>
      </c>
      <c r="P149" s="478">
        <f t="shared" si="52"/>
        <v>0</v>
      </c>
    </row>
    <row r="150" spans="2:16">
      <c r="B150" s="160" t="str">
        <f t="shared" si="31"/>
        <v/>
      </c>
      <c r="C150" s="472">
        <f>IF(D93="","-",+C149+1)</f>
        <v>2064</v>
      </c>
      <c r="D150" s="347">
        <f>IF(F149+SUM(E$99:E149)=D$92,F149,D$92-SUM(E$99:E149))</f>
        <v>0</v>
      </c>
      <c r="E150" s="484">
        <f t="shared" si="44"/>
        <v>0</v>
      </c>
      <c r="F150" s="485">
        <f t="shared" si="45"/>
        <v>0</v>
      </c>
      <c r="G150" s="485">
        <f t="shared" si="46"/>
        <v>0</v>
      </c>
      <c r="H150" s="486">
        <f t="shared" si="47"/>
        <v>0</v>
      </c>
      <c r="I150" s="542">
        <f t="shared" si="48"/>
        <v>0</v>
      </c>
      <c r="J150" s="478">
        <f t="shared" si="32"/>
        <v>0</v>
      </c>
      <c r="K150" s="478"/>
      <c r="L150" s="487"/>
      <c r="M150" s="478">
        <f t="shared" si="50"/>
        <v>0</v>
      </c>
      <c r="N150" s="487"/>
      <c r="O150" s="478">
        <f t="shared" si="51"/>
        <v>0</v>
      </c>
      <c r="P150" s="478">
        <f t="shared" si="52"/>
        <v>0</v>
      </c>
    </row>
    <row r="151" spans="2:16">
      <c r="B151" s="160" t="str">
        <f t="shared" si="31"/>
        <v/>
      </c>
      <c r="C151" s="472">
        <f>IF(D93="","-",+C150+1)</f>
        <v>2065</v>
      </c>
      <c r="D151" s="347">
        <f>IF(F150+SUM(E$99:E150)=D$92,F150,D$92-SUM(E$99:E150))</f>
        <v>0</v>
      </c>
      <c r="E151" s="484">
        <f t="shared" si="44"/>
        <v>0</v>
      </c>
      <c r="F151" s="485">
        <f t="shared" si="45"/>
        <v>0</v>
      </c>
      <c r="G151" s="485">
        <f t="shared" si="46"/>
        <v>0</v>
      </c>
      <c r="H151" s="486">
        <f t="shared" si="47"/>
        <v>0</v>
      </c>
      <c r="I151" s="542">
        <f t="shared" si="48"/>
        <v>0</v>
      </c>
      <c r="J151" s="478">
        <f t="shared" si="32"/>
        <v>0</v>
      </c>
      <c r="K151" s="478"/>
      <c r="L151" s="487"/>
      <c r="M151" s="478">
        <f t="shared" si="50"/>
        <v>0</v>
      </c>
      <c r="N151" s="487"/>
      <c r="O151" s="478">
        <f t="shared" si="51"/>
        <v>0</v>
      </c>
      <c r="P151" s="478">
        <f t="shared" si="52"/>
        <v>0</v>
      </c>
    </row>
    <row r="152" spans="2:16">
      <c r="B152" s="160" t="str">
        <f t="shared" si="31"/>
        <v/>
      </c>
      <c r="C152" s="472">
        <f>IF(D93="","-",+C151+1)</f>
        <v>2066</v>
      </c>
      <c r="D152" s="347">
        <f>IF(F151+SUM(E$99:E151)=D$92,F151,D$92-SUM(E$99:E151))</f>
        <v>0</v>
      </c>
      <c r="E152" s="484">
        <f t="shared" si="44"/>
        <v>0</v>
      </c>
      <c r="F152" s="485">
        <f t="shared" si="45"/>
        <v>0</v>
      </c>
      <c r="G152" s="485">
        <f t="shared" si="46"/>
        <v>0</v>
      </c>
      <c r="H152" s="486">
        <f t="shared" si="47"/>
        <v>0</v>
      </c>
      <c r="I152" s="542">
        <f t="shared" si="48"/>
        <v>0</v>
      </c>
      <c r="J152" s="478">
        <f t="shared" si="32"/>
        <v>0</v>
      </c>
      <c r="K152" s="478"/>
      <c r="L152" s="487"/>
      <c r="M152" s="478">
        <f t="shared" si="50"/>
        <v>0</v>
      </c>
      <c r="N152" s="487"/>
      <c r="O152" s="478">
        <f t="shared" si="51"/>
        <v>0</v>
      </c>
      <c r="P152" s="478">
        <f t="shared" si="52"/>
        <v>0</v>
      </c>
    </row>
    <row r="153" spans="2:16">
      <c r="B153" s="160" t="str">
        <f t="shared" si="31"/>
        <v/>
      </c>
      <c r="C153" s="472">
        <f>IF(D93="","-",+C152+1)</f>
        <v>2067</v>
      </c>
      <c r="D153" s="347">
        <f>IF(F152+SUM(E$99:E152)=D$92,F152,D$92-SUM(E$99:E152))</f>
        <v>0</v>
      </c>
      <c r="E153" s="484">
        <f t="shared" si="44"/>
        <v>0</v>
      </c>
      <c r="F153" s="485">
        <f t="shared" si="45"/>
        <v>0</v>
      </c>
      <c r="G153" s="485">
        <f t="shared" si="46"/>
        <v>0</v>
      </c>
      <c r="H153" s="488">
        <f t="shared" ref="H153:H154" si="53">+J$94*G153+E153</f>
        <v>0</v>
      </c>
      <c r="I153" s="542">
        <f t="shared" ref="I153:I154" si="54">+J$95*G153+E153</f>
        <v>0</v>
      </c>
      <c r="J153" s="478">
        <f t="shared" si="32"/>
        <v>0</v>
      </c>
      <c r="K153" s="478"/>
      <c r="L153" s="487"/>
      <c r="M153" s="478">
        <f t="shared" si="50"/>
        <v>0</v>
      </c>
      <c r="N153" s="487"/>
      <c r="O153" s="478">
        <f t="shared" si="51"/>
        <v>0</v>
      </c>
      <c r="P153" s="478">
        <f t="shared" si="52"/>
        <v>0</v>
      </c>
    </row>
    <row r="154" spans="2:16" ht="13.5" thickBot="1">
      <c r="B154" s="160" t="str">
        <f t="shared" si="31"/>
        <v/>
      </c>
      <c r="C154" s="489">
        <f>IF(D93="","-",+C153+1)</f>
        <v>2068</v>
      </c>
      <c r="D154" s="576">
        <f>IF(F153+SUM(E$99:E153)=D$92,F153,D$92-SUM(E$99:E153))</f>
        <v>0</v>
      </c>
      <c r="E154" s="491">
        <f t="shared" si="44"/>
        <v>0</v>
      </c>
      <c r="F154" s="490">
        <f t="shared" si="45"/>
        <v>0</v>
      </c>
      <c r="G154" s="490">
        <f t="shared" si="46"/>
        <v>0</v>
      </c>
      <c r="H154" s="492">
        <f t="shared" si="53"/>
        <v>0</v>
      </c>
      <c r="I154" s="545">
        <f t="shared" si="54"/>
        <v>0</v>
      </c>
      <c r="J154" s="495">
        <f t="shared" si="32"/>
        <v>0</v>
      </c>
      <c r="K154" s="495"/>
      <c r="L154" s="494"/>
      <c r="M154" s="495">
        <f t="shared" si="50"/>
        <v>0</v>
      </c>
      <c r="N154" s="494"/>
      <c r="O154" s="495">
        <f t="shared" si="51"/>
        <v>0</v>
      </c>
      <c r="P154" s="495">
        <f t="shared" si="52"/>
        <v>0</v>
      </c>
    </row>
    <row r="155" spans="2:16">
      <c r="C155" s="347" t="s">
        <v>77</v>
      </c>
      <c r="D155" s="348"/>
      <c r="E155" s="348">
        <f>SUM(E99:E154)</f>
        <v>1035552</v>
      </c>
      <c r="F155" s="348"/>
      <c r="G155" s="348"/>
      <c r="H155" s="348">
        <f>SUM(H99:H154)</f>
        <v>3463180.9274825309</v>
      </c>
      <c r="I155" s="348">
        <f>SUM(I99:I154)</f>
        <v>3463180.9274825309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7" priority="1" stopIfTrue="1" operator="equal">
      <formula>$I$10</formula>
    </cfRule>
  </conditionalFormatting>
  <conditionalFormatting sqref="C99:C154">
    <cfRule type="cellIs" dxfId="3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4"/>
  <dimension ref="A1:P162"/>
  <sheetViews>
    <sheetView view="pageBreakPreview" zoomScale="80" zoomScaleNormal="100" zoomScaleSheetLayoutView="80" workbookViewId="0">
      <selection activeCell="D22" sqref="D2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15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248552.15642857144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248552.15642857144</v>
      </c>
      <c r="O6" s="233"/>
      <c r="P6" s="233"/>
    </row>
    <row r="7" spans="1:16" ht="13.5" thickBot="1">
      <c r="C7" s="431" t="s">
        <v>46</v>
      </c>
      <c r="D7" s="599" t="s">
        <v>250</v>
      </c>
      <c r="E7" s="600"/>
      <c r="F7" s="600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249</v>
      </c>
      <c r="E9" s="577" t="s">
        <v>258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2246628.5699999998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53491.156428571427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84">
        <v>2295000</v>
      </c>
      <c r="E17" s="608">
        <v>36778.846153846156</v>
      </c>
      <c r="F17" s="584">
        <v>2258221.153846154</v>
      </c>
      <c r="G17" s="608">
        <v>347642.78736560291</v>
      </c>
      <c r="H17" s="587">
        <v>347642.78736560291</v>
      </c>
      <c r="I17" s="475">
        <v>0</v>
      </c>
      <c r="J17" s="475"/>
      <c r="K17" s="476">
        <f t="shared" ref="K17:K22" si="0">G17</f>
        <v>347642.78736560291</v>
      </c>
      <c r="L17" s="603">
        <f t="shared" ref="L17:L22" si="1">IF(K17&lt;&gt;0,+G17-K17,0)</f>
        <v>0</v>
      </c>
      <c r="M17" s="476">
        <f t="shared" ref="M17:M22" si="2">H17</f>
        <v>347642.78736560291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84">
        <v>2258221.153846154</v>
      </c>
      <c r="E18" s="585">
        <v>43204.395576923074</v>
      </c>
      <c r="F18" s="584">
        <v>2215016.7582692308</v>
      </c>
      <c r="G18" s="585">
        <v>348592.42580485216</v>
      </c>
      <c r="H18" s="587">
        <v>348592.42580485216</v>
      </c>
      <c r="I18" s="475">
        <v>0</v>
      </c>
      <c r="J18" s="475"/>
      <c r="K18" s="476">
        <f t="shared" si="0"/>
        <v>348592.42580485216</v>
      </c>
      <c r="L18" s="603">
        <f t="shared" si="1"/>
        <v>0</v>
      </c>
      <c r="M18" s="476">
        <f t="shared" si="2"/>
        <v>348592.42580485216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2016</v>
      </c>
      <c r="D19" s="584">
        <v>2166645.3282692307</v>
      </c>
      <c r="E19" s="585">
        <v>43204.395576923074</v>
      </c>
      <c r="F19" s="584">
        <v>2123440.9326923075</v>
      </c>
      <c r="G19" s="585">
        <v>321714.3955769231</v>
      </c>
      <c r="H19" s="587">
        <v>321714.3955769231</v>
      </c>
      <c r="I19" s="475">
        <f>H19-G19</f>
        <v>0</v>
      </c>
      <c r="J19" s="475"/>
      <c r="K19" s="476">
        <f t="shared" si="0"/>
        <v>321714.3955769231</v>
      </c>
      <c r="L19" s="603">
        <f t="shared" si="1"/>
        <v>0</v>
      </c>
      <c r="M19" s="476">
        <f t="shared" si="2"/>
        <v>321714.3955769231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/>
      </c>
      <c r="C20" s="472">
        <f>IF(D11="","-",+C19+1)</f>
        <v>2017</v>
      </c>
      <c r="D20" s="584">
        <v>2123440.9326923075</v>
      </c>
      <c r="E20" s="585">
        <v>48839.751521739126</v>
      </c>
      <c r="F20" s="584">
        <v>2074601.1811705683</v>
      </c>
      <c r="G20" s="585">
        <v>312854.75152173912</v>
      </c>
      <c r="H20" s="587">
        <v>312854.75152173912</v>
      </c>
      <c r="I20" s="475">
        <f t="shared" ref="I20:I72" si="4">H20-G20</f>
        <v>0</v>
      </c>
      <c r="J20" s="475"/>
      <c r="K20" s="476">
        <f t="shared" si="0"/>
        <v>312854.75152173912</v>
      </c>
      <c r="L20" s="603">
        <f t="shared" si="1"/>
        <v>0</v>
      </c>
      <c r="M20" s="476">
        <f t="shared" si="2"/>
        <v>312854.75152173912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/>
      </c>
      <c r="C21" s="472">
        <f>IF(D11="","-",+C20+1)</f>
        <v>2018</v>
      </c>
      <c r="D21" s="584">
        <v>2074601.1811705683</v>
      </c>
      <c r="E21" s="585">
        <v>49925.079333333328</v>
      </c>
      <c r="F21" s="584">
        <v>2024676.101837235</v>
      </c>
      <c r="G21" s="585">
        <v>295387.63187355472</v>
      </c>
      <c r="H21" s="587">
        <v>295387.63187355472</v>
      </c>
      <c r="I21" s="475">
        <f t="shared" si="4"/>
        <v>0</v>
      </c>
      <c r="J21" s="475"/>
      <c r="K21" s="476">
        <f t="shared" si="0"/>
        <v>295387.63187355472</v>
      </c>
      <c r="L21" s="603">
        <f t="shared" si="1"/>
        <v>0</v>
      </c>
      <c r="M21" s="476">
        <f t="shared" si="2"/>
        <v>295387.63187355472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/>
      </c>
      <c r="C22" s="472">
        <f>IF(D11="","-",+C21+1)</f>
        <v>2019</v>
      </c>
      <c r="D22" s="584">
        <v>2024676.101837235</v>
      </c>
      <c r="E22" s="585">
        <v>56165.714249999997</v>
      </c>
      <c r="F22" s="584">
        <v>1968510.3875872351</v>
      </c>
      <c r="G22" s="585">
        <v>279098.59002601594</v>
      </c>
      <c r="H22" s="587">
        <v>279098.59002601594</v>
      </c>
      <c r="I22" s="475">
        <f t="shared" si="4"/>
        <v>0</v>
      </c>
      <c r="J22" s="475"/>
      <c r="K22" s="476">
        <f t="shared" si="0"/>
        <v>279098.59002601594</v>
      </c>
      <c r="L22" s="603">
        <f t="shared" si="1"/>
        <v>0</v>
      </c>
      <c r="M22" s="476">
        <f t="shared" si="2"/>
        <v>279098.59002601594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>IU</v>
      </c>
      <c r="C23" s="472">
        <f>IF(D11="","-",+C22+1)</f>
        <v>2020</v>
      </c>
      <c r="D23" s="584">
        <v>1974751.0225039017</v>
      </c>
      <c r="E23" s="585">
        <v>53491.156428571427</v>
      </c>
      <c r="F23" s="584">
        <v>1921259.8660753304</v>
      </c>
      <c r="G23" s="585">
        <v>263885.04985844565</v>
      </c>
      <c r="H23" s="587">
        <v>263885.04985844565</v>
      </c>
      <c r="I23" s="475">
        <f t="shared" si="4"/>
        <v>0</v>
      </c>
      <c r="J23" s="475"/>
      <c r="K23" s="476">
        <f t="shared" ref="K23" si="7">G23</f>
        <v>263885.04985844565</v>
      </c>
      <c r="L23" s="603">
        <f t="shared" ref="L23" si="8">IF(K23&lt;&gt;0,+G23-K23,0)</f>
        <v>0</v>
      </c>
      <c r="M23" s="476">
        <f t="shared" ref="M23" si="9">H23</f>
        <v>263885.04985844565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84">
        <v>1915019.2311586635</v>
      </c>
      <c r="E24" s="585">
        <v>52247.176046511624</v>
      </c>
      <c r="F24" s="584">
        <v>1862772.0551121519</v>
      </c>
      <c r="G24" s="585">
        <v>253094.17604651162</v>
      </c>
      <c r="H24" s="587">
        <v>253094.17604651162</v>
      </c>
      <c r="I24" s="475">
        <f t="shared" si="4"/>
        <v>0</v>
      </c>
      <c r="J24" s="475"/>
      <c r="K24" s="476">
        <f t="shared" ref="K24" si="10">G24</f>
        <v>253094.17604651162</v>
      </c>
      <c r="L24" s="603">
        <f t="shared" ref="L24" si="11">IF(K24&lt;&gt;0,+G24-K24,0)</f>
        <v>0</v>
      </c>
      <c r="M24" s="476">
        <f t="shared" ref="M24" si="12">H24</f>
        <v>253094.17604651162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/>
      </c>
      <c r="C25" s="472">
        <f>IF(D11="","-",+C24+1)</f>
        <v>2022</v>
      </c>
      <c r="D25" s="584">
        <v>1862772.0551121519</v>
      </c>
      <c r="E25" s="585">
        <v>53491.156428571427</v>
      </c>
      <c r="F25" s="584">
        <v>1809280.8986835806</v>
      </c>
      <c r="G25" s="585">
        <v>248552.15642857144</v>
      </c>
      <c r="H25" s="587">
        <v>248552.15642857144</v>
      </c>
      <c r="I25" s="475">
        <f t="shared" si="4"/>
        <v>0</v>
      </c>
      <c r="J25" s="475"/>
      <c r="K25" s="476">
        <f t="shared" ref="K25" si="13">G25</f>
        <v>248552.15642857144</v>
      </c>
      <c r="L25" s="603">
        <f t="shared" ref="L25" si="14">IF(K25&lt;&gt;0,+G25-K25,0)</f>
        <v>0</v>
      </c>
      <c r="M25" s="476">
        <f t="shared" ref="M25" si="15">H25</f>
        <v>248552.15642857144</v>
      </c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1809280.8986835806</v>
      </c>
      <c r="E26" s="484">
        <f t="shared" ref="E26:E72" si="16">IF(+$I$14&lt;F25,$I$14,D26)</f>
        <v>53491.156428571427</v>
      </c>
      <c r="F26" s="485">
        <f t="shared" ref="F26:F72" si="17">+D26-E26</f>
        <v>1755789.7422550092</v>
      </c>
      <c r="G26" s="486">
        <f t="shared" ref="G26:G72" si="18">(D26+F26)/2*I$12+E26</f>
        <v>245668.51002379495</v>
      </c>
      <c r="H26" s="455">
        <f t="shared" ref="H26:H72" si="19">+(D26+F26)/2*I$13+E26</f>
        <v>245668.51002379495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1755789.7422550092</v>
      </c>
      <c r="E27" s="484">
        <f t="shared" si="16"/>
        <v>53491.156428571427</v>
      </c>
      <c r="F27" s="485">
        <f t="shared" si="17"/>
        <v>1702298.5858264379</v>
      </c>
      <c r="G27" s="486">
        <f t="shared" si="18"/>
        <v>239901.56180956011</v>
      </c>
      <c r="H27" s="455">
        <f t="shared" si="19"/>
        <v>239901.56180956011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1702298.5858264379</v>
      </c>
      <c r="E28" s="484">
        <f t="shared" si="16"/>
        <v>53491.156428571427</v>
      </c>
      <c r="F28" s="485">
        <f t="shared" si="17"/>
        <v>1648807.4293978666</v>
      </c>
      <c r="G28" s="486">
        <f t="shared" si="18"/>
        <v>234134.61359532527</v>
      </c>
      <c r="H28" s="455">
        <f t="shared" si="19"/>
        <v>234134.61359532527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1648807.4293978666</v>
      </c>
      <c r="E29" s="484">
        <f t="shared" si="16"/>
        <v>53491.156428571427</v>
      </c>
      <c r="F29" s="485">
        <f t="shared" si="17"/>
        <v>1595316.2729692953</v>
      </c>
      <c r="G29" s="486">
        <f t="shared" si="18"/>
        <v>228367.66538109037</v>
      </c>
      <c r="H29" s="455">
        <f t="shared" si="19"/>
        <v>228367.66538109037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1595316.2729692953</v>
      </c>
      <c r="E30" s="484">
        <f t="shared" si="16"/>
        <v>53491.156428571427</v>
      </c>
      <c r="F30" s="485">
        <f t="shared" si="17"/>
        <v>1541825.1165407239</v>
      </c>
      <c r="G30" s="486">
        <f t="shared" si="18"/>
        <v>222600.71716685552</v>
      </c>
      <c r="H30" s="455">
        <f t="shared" si="19"/>
        <v>222600.71716685552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1541825.1165407239</v>
      </c>
      <c r="E31" s="484">
        <f t="shared" si="16"/>
        <v>53491.156428571427</v>
      </c>
      <c r="F31" s="485">
        <f t="shared" si="17"/>
        <v>1488333.9601121526</v>
      </c>
      <c r="G31" s="486">
        <f t="shared" si="18"/>
        <v>216833.76895262068</v>
      </c>
      <c r="H31" s="455">
        <f t="shared" si="19"/>
        <v>216833.76895262068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1488333.9601121526</v>
      </c>
      <c r="E32" s="484">
        <f t="shared" si="16"/>
        <v>53491.156428571427</v>
      </c>
      <c r="F32" s="485">
        <f t="shared" si="17"/>
        <v>1434842.8036835813</v>
      </c>
      <c r="G32" s="486">
        <f t="shared" si="18"/>
        <v>211066.82073838578</v>
      </c>
      <c r="H32" s="455">
        <f t="shared" si="19"/>
        <v>211066.82073838578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1434842.8036835813</v>
      </c>
      <c r="E33" s="484">
        <f t="shared" si="16"/>
        <v>53491.156428571427</v>
      </c>
      <c r="F33" s="485">
        <f t="shared" si="17"/>
        <v>1381351.64725501</v>
      </c>
      <c r="G33" s="486">
        <f t="shared" si="18"/>
        <v>205299.87252415094</v>
      </c>
      <c r="H33" s="455">
        <f t="shared" si="19"/>
        <v>205299.87252415094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1381351.64725501</v>
      </c>
      <c r="E34" s="484">
        <f t="shared" si="16"/>
        <v>53491.156428571427</v>
      </c>
      <c r="F34" s="485">
        <f t="shared" si="17"/>
        <v>1327860.4908264386</v>
      </c>
      <c r="G34" s="486">
        <f t="shared" si="18"/>
        <v>199532.9243099161</v>
      </c>
      <c r="H34" s="455">
        <f t="shared" si="19"/>
        <v>199532.9243099161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1327860.4908264386</v>
      </c>
      <c r="E35" s="484">
        <f t="shared" si="16"/>
        <v>53491.156428571427</v>
      </c>
      <c r="F35" s="485">
        <f t="shared" si="17"/>
        <v>1274369.3343978673</v>
      </c>
      <c r="G35" s="486">
        <f t="shared" si="18"/>
        <v>193765.97609568125</v>
      </c>
      <c r="H35" s="455">
        <f t="shared" si="19"/>
        <v>193765.97609568125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1274369.3343978673</v>
      </c>
      <c r="E36" s="484">
        <f t="shared" si="16"/>
        <v>53491.156428571427</v>
      </c>
      <c r="F36" s="485">
        <f t="shared" si="17"/>
        <v>1220878.177969296</v>
      </c>
      <c r="G36" s="486">
        <f t="shared" si="18"/>
        <v>187999.02788144635</v>
      </c>
      <c r="H36" s="455">
        <f t="shared" si="19"/>
        <v>187999.02788144635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1220878.177969296</v>
      </c>
      <c r="E37" s="484">
        <f t="shared" si="16"/>
        <v>53491.156428571427</v>
      </c>
      <c r="F37" s="485">
        <f t="shared" si="17"/>
        <v>1167387.0215407247</v>
      </c>
      <c r="G37" s="486">
        <f t="shared" si="18"/>
        <v>182232.07966721151</v>
      </c>
      <c r="H37" s="455">
        <f t="shared" si="19"/>
        <v>182232.07966721151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1167387.0215407247</v>
      </c>
      <c r="E38" s="484">
        <f t="shared" si="16"/>
        <v>53491.156428571427</v>
      </c>
      <c r="F38" s="485">
        <f t="shared" si="17"/>
        <v>1113895.8651121533</v>
      </c>
      <c r="G38" s="486">
        <f t="shared" si="18"/>
        <v>176465.13145297664</v>
      </c>
      <c r="H38" s="455">
        <f t="shared" si="19"/>
        <v>176465.13145297664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1113895.8651121533</v>
      </c>
      <c r="E39" s="484">
        <f t="shared" si="16"/>
        <v>53491.156428571427</v>
      </c>
      <c r="F39" s="485">
        <f t="shared" si="17"/>
        <v>1060404.708683582</v>
      </c>
      <c r="G39" s="486">
        <f t="shared" si="18"/>
        <v>170698.18323874177</v>
      </c>
      <c r="H39" s="455">
        <f t="shared" si="19"/>
        <v>170698.18323874177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1060404.708683582</v>
      </c>
      <c r="E40" s="484">
        <f t="shared" si="16"/>
        <v>53491.156428571427</v>
      </c>
      <c r="F40" s="485">
        <f t="shared" si="17"/>
        <v>1006913.5522550106</v>
      </c>
      <c r="G40" s="486">
        <f t="shared" si="18"/>
        <v>164931.23502450692</v>
      </c>
      <c r="H40" s="455">
        <f t="shared" si="19"/>
        <v>164931.23502450692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1006913.5522550106</v>
      </c>
      <c r="E41" s="484">
        <f t="shared" si="16"/>
        <v>53491.156428571427</v>
      </c>
      <c r="F41" s="485">
        <f t="shared" si="17"/>
        <v>953422.39582643914</v>
      </c>
      <c r="G41" s="486">
        <f t="shared" si="18"/>
        <v>159164.28681027202</v>
      </c>
      <c r="H41" s="455">
        <f t="shared" si="19"/>
        <v>159164.28681027202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953422.39582643914</v>
      </c>
      <c r="E42" s="484">
        <f t="shared" si="16"/>
        <v>53491.156428571427</v>
      </c>
      <c r="F42" s="485">
        <f t="shared" si="17"/>
        <v>899931.2393978677</v>
      </c>
      <c r="G42" s="486">
        <f t="shared" si="18"/>
        <v>153397.33859603718</v>
      </c>
      <c r="H42" s="455">
        <f t="shared" si="19"/>
        <v>153397.33859603718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899931.2393978677</v>
      </c>
      <c r="E43" s="484">
        <f t="shared" si="16"/>
        <v>53491.156428571427</v>
      </c>
      <c r="F43" s="485">
        <f t="shared" si="17"/>
        <v>846440.08296929626</v>
      </c>
      <c r="G43" s="486">
        <f t="shared" si="18"/>
        <v>147630.39038180228</v>
      </c>
      <c r="H43" s="455">
        <f t="shared" si="19"/>
        <v>147630.39038180228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846440.08296929626</v>
      </c>
      <c r="E44" s="484">
        <f t="shared" si="16"/>
        <v>53491.156428571427</v>
      </c>
      <c r="F44" s="485">
        <f t="shared" si="17"/>
        <v>792948.92654072482</v>
      </c>
      <c r="G44" s="486">
        <f t="shared" si="18"/>
        <v>141863.44216756744</v>
      </c>
      <c r="H44" s="455">
        <f t="shared" si="19"/>
        <v>141863.44216756744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792948.92654072482</v>
      </c>
      <c r="E45" s="484">
        <f t="shared" si="16"/>
        <v>53491.156428571427</v>
      </c>
      <c r="F45" s="485">
        <f t="shared" si="17"/>
        <v>739457.77011215338</v>
      </c>
      <c r="G45" s="486">
        <f t="shared" si="18"/>
        <v>136096.49395333254</v>
      </c>
      <c r="H45" s="455">
        <f t="shared" si="19"/>
        <v>136096.49395333254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739457.77011215338</v>
      </c>
      <c r="E46" s="484">
        <f t="shared" si="16"/>
        <v>53491.156428571427</v>
      </c>
      <c r="F46" s="485">
        <f t="shared" si="17"/>
        <v>685966.61368358193</v>
      </c>
      <c r="G46" s="486">
        <f t="shared" si="18"/>
        <v>130329.54573909767</v>
      </c>
      <c r="H46" s="455">
        <f t="shared" si="19"/>
        <v>130329.54573909767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685966.61368358193</v>
      </c>
      <c r="E47" s="484">
        <f t="shared" si="16"/>
        <v>53491.156428571427</v>
      </c>
      <c r="F47" s="485">
        <f t="shared" si="17"/>
        <v>632475.45725501049</v>
      </c>
      <c r="G47" s="486">
        <f t="shared" si="18"/>
        <v>124562.59752486278</v>
      </c>
      <c r="H47" s="455">
        <f t="shared" si="19"/>
        <v>124562.59752486278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632475.45725501049</v>
      </c>
      <c r="E48" s="484">
        <f t="shared" si="16"/>
        <v>53491.156428571427</v>
      </c>
      <c r="F48" s="485">
        <f t="shared" si="17"/>
        <v>578984.30082643905</v>
      </c>
      <c r="G48" s="486">
        <f t="shared" si="18"/>
        <v>118795.64931062792</v>
      </c>
      <c r="H48" s="455">
        <f t="shared" si="19"/>
        <v>118795.64931062792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578984.30082643905</v>
      </c>
      <c r="E49" s="484">
        <f t="shared" si="16"/>
        <v>53491.156428571427</v>
      </c>
      <c r="F49" s="485">
        <f t="shared" si="17"/>
        <v>525493.14439786761</v>
      </c>
      <c r="G49" s="486">
        <f t="shared" si="18"/>
        <v>113028.70109639304</v>
      </c>
      <c r="H49" s="455">
        <f t="shared" si="19"/>
        <v>113028.70109639304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525493.14439786761</v>
      </c>
      <c r="E50" s="484">
        <f t="shared" si="16"/>
        <v>53491.156428571427</v>
      </c>
      <c r="F50" s="485">
        <f t="shared" si="17"/>
        <v>472001.98796929617</v>
      </c>
      <c r="G50" s="486">
        <f t="shared" si="18"/>
        <v>107261.75288215818</v>
      </c>
      <c r="H50" s="455">
        <f t="shared" si="19"/>
        <v>107261.75288215818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472001.98796929617</v>
      </c>
      <c r="E51" s="484">
        <f t="shared" si="16"/>
        <v>53491.156428571427</v>
      </c>
      <c r="F51" s="485">
        <f t="shared" si="17"/>
        <v>418510.83154072473</v>
      </c>
      <c r="G51" s="486">
        <f t="shared" si="18"/>
        <v>101494.80466792329</v>
      </c>
      <c r="H51" s="455">
        <f t="shared" si="19"/>
        <v>101494.80466792329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418510.83154072473</v>
      </c>
      <c r="E52" s="484">
        <f t="shared" si="16"/>
        <v>53491.156428571427</v>
      </c>
      <c r="F52" s="485">
        <f t="shared" si="17"/>
        <v>365019.67511215329</v>
      </c>
      <c r="G52" s="486">
        <f t="shared" si="18"/>
        <v>95727.856453688422</v>
      </c>
      <c r="H52" s="455">
        <f t="shared" si="19"/>
        <v>95727.856453688422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365019.67511215329</v>
      </c>
      <c r="E53" s="484">
        <f t="shared" si="16"/>
        <v>53491.156428571427</v>
      </c>
      <c r="F53" s="485">
        <f t="shared" si="17"/>
        <v>311528.51868358185</v>
      </c>
      <c r="G53" s="486">
        <f t="shared" si="18"/>
        <v>89960.908239453551</v>
      </c>
      <c r="H53" s="455">
        <f t="shared" si="19"/>
        <v>89960.908239453551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311528.51868358185</v>
      </c>
      <c r="E54" s="484">
        <f t="shared" si="16"/>
        <v>53491.156428571427</v>
      </c>
      <c r="F54" s="485">
        <f t="shared" si="17"/>
        <v>258037.3622550104</v>
      </c>
      <c r="G54" s="486">
        <f t="shared" si="18"/>
        <v>84193.960025218665</v>
      </c>
      <c r="H54" s="455">
        <f t="shared" si="19"/>
        <v>84193.960025218665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258037.3622550104</v>
      </c>
      <c r="E55" s="484">
        <f t="shared" si="16"/>
        <v>53491.156428571427</v>
      </c>
      <c r="F55" s="485">
        <f t="shared" si="17"/>
        <v>204546.20582643896</v>
      </c>
      <c r="G55" s="486">
        <f t="shared" si="18"/>
        <v>78427.011810983793</v>
      </c>
      <c r="H55" s="455">
        <f t="shared" si="19"/>
        <v>78427.011810983793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204546.20582643896</v>
      </c>
      <c r="E56" s="484">
        <f t="shared" si="16"/>
        <v>53491.156428571427</v>
      </c>
      <c r="F56" s="485">
        <f t="shared" si="17"/>
        <v>151055.04939786752</v>
      </c>
      <c r="G56" s="486">
        <f t="shared" si="18"/>
        <v>72660.063596748922</v>
      </c>
      <c r="H56" s="455">
        <f t="shared" si="19"/>
        <v>72660.063596748922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151055.04939786752</v>
      </c>
      <c r="E57" s="484">
        <f t="shared" si="16"/>
        <v>53491.156428571427</v>
      </c>
      <c r="F57" s="485">
        <f t="shared" si="17"/>
        <v>97563.892969296096</v>
      </c>
      <c r="G57" s="486">
        <f t="shared" si="18"/>
        <v>66893.11538251405</v>
      </c>
      <c r="H57" s="455">
        <f t="shared" si="19"/>
        <v>66893.11538251405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97563.892969296096</v>
      </c>
      <c r="E58" s="484">
        <f t="shared" si="16"/>
        <v>53491.156428571427</v>
      </c>
      <c r="F58" s="485">
        <f t="shared" si="17"/>
        <v>44072.736540724669</v>
      </c>
      <c r="G58" s="486">
        <f t="shared" si="18"/>
        <v>61126.167168279178</v>
      </c>
      <c r="H58" s="455">
        <f t="shared" si="19"/>
        <v>61126.167168279178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44072.736540724669</v>
      </c>
      <c r="E59" s="484">
        <f t="shared" si="16"/>
        <v>44072.736540724669</v>
      </c>
      <c r="F59" s="485">
        <f t="shared" si="17"/>
        <v>0</v>
      </c>
      <c r="G59" s="486">
        <f t="shared" si="18"/>
        <v>46448.504857019827</v>
      </c>
      <c r="H59" s="455">
        <f t="shared" si="19"/>
        <v>46448.504857019827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6"/>
        <v>0</v>
      </c>
      <c r="F60" s="485">
        <f t="shared" si="17"/>
        <v>0</v>
      </c>
      <c r="G60" s="486">
        <f t="shared" si="18"/>
        <v>0</v>
      </c>
      <c r="H60" s="455">
        <f t="shared" si="19"/>
        <v>0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6"/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5">
        <f t="shared" si="4"/>
        <v>0</v>
      </c>
      <c r="J72" s="490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2246628.5699999989</v>
      </c>
      <c r="F73" s="348"/>
      <c r="G73" s="348">
        <f>SUM(G17:G72)</f>
        <v>7779382.6430284604</v>
      </c>
      <c r="H73" s="348">
        <f>SUM(H17:H72)</f>
        <v>7779382.6430284604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15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248552.15642857144</v>
      </c>
      <c r="N87" s="508">
        <f>IF(J92&lt;D11,0,VLOOKUP(J92,C17:O72,11))</f>
        <v>248552.15642857144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258893.42584774771</v>
      </c>
      <c r="N88" s="512">
        <f>IF(J92&lt;D11,0,VLOOKUP(J92,C99:P154,7))</f>
        <v>258893.42584774771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Locust Grove to Lone Star 115 kV Rebuild 2.1 miles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10341.269419176271</v>
      </c>
      <c r="N89" s="517">
        <f>+N88-N87</f>
        <v>10341.269419176271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TP2009093</v>
      </c>
      <c r="E91" s="522" t="str">
        <f>E9</f>
        <v xml:space="preserve">  SPP Project ID = 649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2246628.5699999998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604" t="s">
        <v>269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57606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2014</v>
      </c>
      <c r="D99" s="584">
        <v>0</v>
      </c>
      <c r="E99" s="585">
        <v>36003.333333333336</v>
      </c>
      <c r="F99" s="586">
        <v>2210625.2366666663</v>
      </c>
      <c r="G99" s="605">
        <v>1105312.6183333332</v>
      </c>
      <c r="H99" s="606">
        <v>191405.76922123961</v>
      </c>
      <c r="I99" s="607">
        <v>191405.76922123961</v>
      </c>
      <c r="J99" s="478">
        <v>0</v>
      </c>
      <c r="K99" s="478"/>
      <c r="L99" s="476">
        <f t="shared" ref="L99:L104" si="21">H99</f>
        <v>191405.76922123961</v>
      </c>
      <c r="M99" s="349">
        <f t="shared" ref="M99:M104" si="22">IF(L99&lt;&gt;0,+H99-L99,0)</f>
        <v>0</v>
      </c>
      <c r="N99" s="476">
        <f t="shared" ref="N99:N104" si="23">I99</f>
        <v>191405.76922123961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/>
      </c>
      <c r="C100" s="472">
        <f>IF(D93="","-",+C99+1)</f>
        <v>2015</v>
      </c>
      <c r="D100" s="584">
        <v>2210625.2366666663</v>
      </c>
      <c r="E100" s="585">
        <v>43204</v>
      </c>
      <c r="F100" s="586">
        <v>2167421.2366666663</v>
      </c>
      <c r="G100" s="586">
        <v>2189023.2366666663</v>
      </c>
      <c r="H100" s="606">
        <v>341878.62002899748</v>
      </c>
      <c r="I100" s="607">
        <v>341878.62002899748</v>
      </c>
      <c r="J100" s="478">
        <f>+I100-H100</f>
        <v>0</v>
      </c>
      <c r="K100" s="478"/>
      <c r="L100" s="476">
        <f t="shared" si="21"/>
        <v>341878.62002899748</v>
      </c>
      <c r="M100" s="349">
        <f t="shared" si="22"/>
        <v>0</v>
      </c>
      <c r="N100" s="476">
        <f t="shared" si="23"/>
        <v>341878.62002899748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4">IF(D101=F100,"","IU")</f>
        <v/>
      </c>
      <c r="C101" s="472">
        <f>IF(D93="","-",+C100+1)</f>
        <v>2016</v>
      </c>
      <c r="D101" s="584">
        <v>2167421.2366666663</v>
      </c>
      <c r="E101" s="585">
        <v>48840</v>
      </c>
      <c r="F101" s="586">
        <v>2118581.2366666663</v>
      </c>
      <c r="G101" s="586">
        <v>2143001.2366666663</v>
      </c>
      <c r="H101" s="606">
        <v>325106.60926354182</v>
      </c>
      <c r="I101" s="607">
        <v>325106.60926354182</v>
      </c>
      <c r="J101" s="478">
        <f t="shared" ref="J101:J154" si="25">+I101-H101</f>
        <v>0</v>
      </c>
      <c r="K101" s="478"/>
      <c r="L101" s="476">
        <f t="shared" si="21"/>
        <v>325106.60926354182</v>
      </c>
      <c r="M101" s="349">
        <f t="shared" si="22"/>
        <v>0</v>
      </c>
      <c r="N101" s="476">
        <f t="shared" si="23"/>
        <v>325106.60926354182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4"/>
        <v/>
      </c>
      <c r="C102" s="472">
        <f>IF(D93="","-",+C101+1)</f>
        <v>2017</v>
      </c>
      <c r="D102" s="584">
        <v>2118581.2366666663</v>
      </c>
      <c r="E102" s="585">
        <v>48840</v>
      </c>
      <c r="F102" s="586">
        <v>2069741.2366666663</v>
      </c>
      <c r="G102" s="586">
        <v>2094161.2366666663</v>
      </c>
      <c r="H102" s="606">
        <v>314489.63330060086</v>
      </c>
      <c r="I102" s="607">
        <v>314489.63330060086</v>
      </c>
      <c r="J102" s="478">
        <f t="shared" si="25"/>
        <v>0</v>
      </c>
      <c r="K102" s="478"/>
      <c r="L102" s="476">
        <f t="shared" si="21"/>
        <v>314489.63330060086</v>
      </c>
      <c r="M102" s="349">
        <f t="shared" si="22"/>
        <v>0</v>
      </c>
      <c r="N102" s="476">
        <f t="shared" si="23"/>
        <v>314489.63330060086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4"/>
        <v/>
      </c>
      <c r="C103" s="472">
        <f>IF(D93="","-",+C102+1)</f>
        <v>2018</v>
      </c>
      <c r="D103" s="584">
        <v>2069741.2366666663</v>
      </c>
      <c r="E103" s="585">
        <v>52247</v>
      </c>
      <c r="F103" s="586">
        <v>2017494.2366666663</v>
      </c>
      <c r="G103" s="586">
        <v>2043617.7366666663</v>
      </c>
      <c r="H103" s="606">
        <v>262199.22655399318</v>
      </c>
      <c r="I103" s="607">
        <v>262199.22655399318</v>
      </c>
      <c r="J103" s="478">
        <f t="shared" si="25"/>
        <v>0</v>
      </c>
      <c r="K103" s="478"/>
      <c r="L103" s="476">
        <f t="shared" si="21"/>
        <v>262199.22655399318</v>
      </c>
      <c r="M103" s="349">
        <f t="shared" si="22"/>
        <v>0</v>
      </c>
      <c r="N103" s="476">
        <f t="shared" si="23"/>
        <v>262199.22655399318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4"/>
        <v/>
      </c>
      <c r="C104" s="472">
        <f>IF(D93="","-",+C103+1)</f>
        <v>2019</v>
      </c>
      <c r="D104" s="584">
        <v>2017494.2366666663</v>
      </c>
      <c r="E104" s="585">
        <v>54796</v>
      </c>
      <c r="F104" s="586">
        <v>1962698.2366666663</v>
      </c>
      <c r="G104" s="586">
        <v>1990096.2366666663</v>
      </c>
      <c r="H104" s="606">
        <v>260002.83525061089</v>
      </c>
      <c r="I104" s="607">
        <v>260002.83525061089</v>
      </c>
      <c r="J104" s="478">
        <f t="shared" si="25"/>
        <v>0</v>
      </c>
      <c r="K104" s="478"/>
      <c r="L104" s="476">
        <f t="shared" si="21"/>
        <v>260002.83525061089</v>
      </c>
      <c r="M104" s="349">
        <f t="shared" si="22"/>
        <v>0</v>
      </c>
      <c r="N104" s="476">
        <f t="shared" si="23"/>
        <v>260002.83525061089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>
      <c r="B105" s="160" t="str">
        <f t="shared" si="24"/>
        <v/>
      </c>
      <c r="C105" s="472">
        <f>IF(D93="","-",+C104+1)</f>
        <v>2020</v>
      </c>
      <c r="D105" s="584">
        <v>1962698.2366666663</v>
      </c>
      <c r="E105" s="585">
        <v>52247</v>
      </c>
      <c r="F105" s="586">
        <v>1910451.2366666663</v>
      </c>
      <c r="G105" s="586">
        <v>1936574.7366666663</v>
      </c>
      <c r="H105" s="606">
        <v>275528.74296443292</v>
      </c>
      <c r="I105" s="607">
        <v>275528.74296443292</v>
      </c>
      <c r="J105" s="478">
        <f t="shared" si="25"/>
        <v>0</v>
      </c>
      <c r="K105" s="478"/>
      <c r="L105" s="476">
        <f t="shared" ref="L105" si="28">H105</f>
        <v>275528.74296443292</v>
      </c>
      <c r="M105" s="349">
        <f t="shared" ref="M105" si="29">IF(L105&lt;&gt;0,+H105-L105,0)</f>
        <v>0</v>
      </c>
      <c r="N105" s="476">
        <f t="shared" ref="N105" si="30">I105</f>
        <v>275528.74296443292</v>
      </c>
      <c r="O105" s="478">
        <f t="shared" si="26"/>
        <v>0</v>
      </c>
      <c r="P105" s="478">
        <f t="shared" si="27"/>
        <v>0</v>
      </c>
    </row>
    <row r="106" spans="1:16">
      <c r="B106" s="160" t="str">
        <f t="shared" si="24"/>
        <v/>
      </c>
      <c r="C106" s="472">
        <f>IF(D93="","-",+C105+1)</f>
        <v>2021</v>
      </c>
      <c r="D106" s="584">
        <v>1910451.2366666663</v>
      </c>
      <c r="E106" s="585">
        <v>54796</v>
      </c>
      <c r="F106" s="586">
        <v>1855655.2366666663</v>
      </c>
      <c r="G106" s="586">
        <v>1883053.2366666663</v>
      </c>
      <c r="H106" s="606">
        <v>269073.88722723804</v>
      </c>
      <c r="I106" s="607">
        <v>269073.88722723804</v>
      </c>
      <c r="J106" s="478">
        <f t="shared" si="25"/>
        <v>0</v>
      </c>
      <c r="K106" s="478"/>
      <c r="L106" s="476">
        <f t="shared" ref="L106" si="31">H106</f>
        <v>269073.88722723804</v>
      </c>
      <c r="M106" s="349">
        <f t="shared" ref="M106" si="32">IF(L106&lt;&gt;0,+H106-L106,0)</f>
        <v>0</v>
      </c>
      <c r="N106" s="476">
        <f t="shared" ref="N106" si="33">I106</f>
        <v>269073.88722723804</v>
      </c>
      <c r="O106" s="478">
        <f t="shared" si="26"/>
        <v>0</v>
      </c>
      <c r="P106" s="478">
        <f t="shared" si="27"/>
        <v>0</v>
      </c>
    </row>
    <row r="107" spans="1:16">
      <c r="B107" s="160" t="str">
        <f t="shared" si="24"/>
        <v/>
      </c>
      <c r="C107" s="472">
        <f>IF(D93="","-",+C106+1)</f>
        <v>2022</v>
      </c>
      <c r="D107" s="347">
        <f>IF(F106+SUM(E$99:E106)=D$92,F106,D$92-SUM(E$99:E106))</f>
        <v>1855655.2366666663</v>
      </c>
      <c r="E107" s="484">
        <f t="shared" ref="E107:E154" si="34">IF(+J$96&lt;F106,J$96,D107)</f>
        <v>57606</v>
      </c>
      <c r="F107" s="485">
        <f t="shared" ref="F107:F154" si="35">+D107-E107</f>
        <v>1798049.2366666663</v>
      </c>
      <c r="G107" s="485">
        <f t="shared" ref="G107:G154" si="36">+(F107+D107)/2</f>
        <v>1826852.2366666663</v>
      </c>
      <c r="H107" s="486">
        <f t="shared" ref="H107:H153" si="37">(D107+F107)/2*J$94+E107</f>
        <v>258893.42584774771</v>
      </c>
      <c r="I107" s="542">
        <f t="shared" ref="I107:I153" si="38">+J$95*G107+E107</f>
        <v>258893.42584774771</v>
      </c>
      <c r="J107" s="478">
        <f t="shared" si="25"/>
        <v>0</v>
      </c>
      <c r="K107" s="478"/>
      <c r="L107" s="487"/>
      <c r="M107" s="478">
        <f t="shared" ref="M107:M130" si="39">IF(L107&lt;&gt;0,+H107-L107,0)</f>
        <v>0</v>
      </c>
      <c r="N107" s="487"/>
      <c r="O107" s="478">
        <f t="shared" si="26"/>
        <v>0</v>
      </c>
      <c r="P107" s="478">
        <f t="shared" si="27"/>
        <v>0</v>
      </c>
    </row>
    <row r="108" spans="1:16">
      <c r="B108" s="160" t="str">
        <f t="shared" si="24"/>
        <v/>
      </c>
      <c r="C108" s="472">
        <f>IF(D93="","-",+C107+1)</f>
        <v>2023</v>
      </c>
      <c r="D108" s="347">
        <f>IF(F107+SUM(E$99:E107)=D$92,F107,D$92-SUM(E$99:E107))</f>
        <v>1798049.2366666663</v>
      </c>
      <c r="E108" s="484">
        <f t="shared" si="34"/>
        <v>57606</v>
      </c>
      <c r="F108" s="485">
        <f t="shared" si="35"/>
        <v>1740443.2366666663</v>
      </c>
      <c r="G108" s="485">
        <f t="shared" si="36"/>
        <v>1769246.2366666663</v>
      </c>
      <c r="H108" s="486">
        <f t="shared" si="37"/>
        <v>252546.24394619302</v>
      </c>
      <c r="I108" s="542">
        <f t="shared" si="38"/>
        <v>252546.24394619302</v>
      </c>
      <c r="J108" s="478">
        <f t="shared" si="25"/>
        <v>0</v>
      </c>
      <c r="K108" s="478"/>
      <c r="L108" s="487"/>
      <c r="M108" s="478">
        <f t="shared" si="39"/>
        <v>0</v>
      </c>
      <c r="N108" s="487"/>
      <c r="O108" s="478">
        <f t="shared" si="26"/>
        <v>0</v>
      </c>
      <c r="P108" s="478">
        <f t="shared" si="27"/>
        <v>0</v>
      </c>
    </row>
    <row r="109" spans="1:16">
      <c r="B109" s="160" t="str">
        <f t="shared" si="24"/>
        <v/>
      </c>
      <c r="C109" s="472">
        <f>IF(D93="","-",+C108+1)</f>
        <v>2024</v>
      </c>
      <c r="D109" s="347">
        <f>IF(F108+SUM(E$99:E108)=D$92,F108,D$92-SUM(E$99:E108))</f>
        <v>1740443.2366666663</v>
      </c>
      <c r="E109" s="484">
        <f t="shared" si="34"/>
        <v>57606</v>
      </c>
      <c r="F109" s="485">
        <f t="shared" si="35"/>
        <v>1682837.2366666663</v>
      </c>
      <c r="G109" s="485">
        <f t="shared" si="36"/>
        <v>1711640.2366666663</v>
      </c>
      <c r="H109" s="486">
        <f t="shared" si="37"/>
        <v>246199.06204463833</v>
      </c>
      <c r="I109" s="542">
        <f t="shared" si="38"/>
        <v>246199.06204463833</v>
      </c>
      <c r="J109" s="478">
        <f t="shared" si="25"/>
        <v>0</v>
      </c>
      <c r="K109" s="478"/>
      <c r="L109" s="487"/>
      <c r="M109" s="478">
        <f t="shared" si="39"/>
        <v>0</v>
      </c>
      <c r="N109" s="487"/>
      <c r="O109" s="478">
        <f t="shared" si="26"/>
        <v>0</v>
      </c>
      <c r="P109" s="478">
        <f t="shared" si="27"/>
        <v>0</v>
      </c>
    </row>
    <row r="110" spans="1:16">
      <c r="B110" s="160" t="str">
        <f t="shared" si="24"/>
        <v/>
      </c>
      <c r="C110" s="472">
        <f>IF(D93="","-",+C109+1)</f>
        <v>2025</v>
      </c>
      <c r="D110" s="347">
        <f>IF(F109+SUM(E$99:E109)=D$92,F109,D$92-SUM(E$99:E109))</f>
        <v>1682837.2366666663</v>
      </c>
      <c r="E110" s="484">
        <f t="shared" si="34"/>
        <v>57606</v>
      </c>
      <c r="F110" s="485">
        <f t="shared" si="35"/>
        <v>1625231.2366666663</v>
      </c>
      <c r="G110" s="485">
        <f t="shared" si="36"/>
        <v>1654034.2366666663</v>
      </c>
      <c r="H110" s="486">
        <f t="shared" si="37"/>
        <v>239851.88014308366</v>
      </c>
      <c r="I110" s="542">
        <f t="shared" si="38"/>
        <v>239851.88014308366</v>
      </c>
      <c r="J110" s="478">
        <f t="shared" si="25"/>
        <v>0</v>
      </c>
      <c r="K110" s="478"/>
      <c r="L110" s="487"/>
      <c r="M110" s="478">
        <f t="shared" si="39"/>
        <v>0</v>
      </c>
      <c r="N110" s="487"/>
      <c r="O110" s="478">
        <f t="shared" si="26"/>
        <v>0</v>
      </c>
      <c r="P110" s="478">
        <f t="shared" si="27"/>
        <v>0</v>
      </c>
    </row>
    <row r="111" spans="1:16">
      <c r="B111" s="160" t="str">
        <f t="shared" si="24"/>
        <v/>
      </c>
      <c r="C111" s="472">
        <f>IF(D93="","-",+C110+1)</f>
        <v>2026</v>
      </c>
      <c r="D111" s="347">
        <f>IF(F110+SUM(E$99:E110)=D$92,F110,D$92-SUM(E$99:E110))</f>
        <v>1625231.2366666663</v>
      </c>
      <c r="E111" s="484">
        <f t="shared" si="34"/>
        <v>57606</v>
      </c>
      <c r="F111" s="485">
        <f t="shared" si="35"/>
        <v>1567625.2366666663</v>
      </c>
      <c r="G111" s="485">
        <f t="shared" si="36"/>
        <v>1596428.2366666663</v>
      </c>
      <c r="H111" s="486">
        <f t="shared" si="37"/>
        <v>233504.69824152897</v>
      </c>
      <c r="I111" s="542">
        <f t="shared" si="38"/>
        <v>233504.69824152897</v>
      </c>
      <c r="J111" s="478">
        <f t="shared" si="25"/>
        <v>0</v>
      </c>
      <c r="K111" s="478"/>
      <c r="L111" s="487"/>
      <c r="M111" s="478">
        <f t="shared" si="39"/>
        <v>0</v>
      </c>
      <c r="N111" s="487"/>
      <c r="O111" s="478">
        <f t="shared" si="26"/>
        <v>0</v>
      </c>
      <c r="P111" s="478">
        <f t="shared" si="27"/>
        <v>0</v>
      </c>
    </row>
    <row r="112" spans="1:16">
      <c r="B112" s="160" t="str">
        <f t="shared" si="24"/>
        <v/>
      </c>
      <c r="C112" s="472">
        <f>IF(D93="","-",+C111+1)</f>
        <v>2027</v>
      </c>
      <c r="D112" s="347">
        <f>IF(F111+SUM(E$99:E111)=D$92,F111,D$92-SUM(E$99:E111))</f>
        <v>1567625.2366666663</v>
      </c>
      <c r="E112" s="484">
        <f t="shared" si="34"/>
        <v>57606</v>
      </c>
      <c r="F112" s="485">
        <f t="shared" si="35"/>
        <v>1510019.2366666663</v>
      </c>
      <c r="G112" s="485">
        <f t="shared" si="36"/>
        <v>1538822.2366666663</v>
      </c>
      <c r="H112" s="486">
        <f t="shared" si="37"/>
        <v>227157.5163399743</v>
      </c>
      <c r="I112" s="542">
        <f t="shared" si="38"/>
        <v>227157.5163399743</v>
      </c>
      <c r="J112" s="478">
        <f t="shared" si="25"/>
        <v>0</v>
      </c>
      <c r="K112" s="478"/>
      <c r="L112" s="487"/>
      <c r="M112" s="478">
        <f t="shared" si="39"/>
        <v>0</v>
      </c>
      <c r="N112" s="487"/>
      <c r="O112" s="478">
        <f t="shared" si="26"/>
        <v>0</v>
      </c>
      <c r="P112" s="478">
        <f t="shared" si="27"/>
        <v>0</v>
      </c>
    </row>
    <row r="113" spans="2:16">
      <c r="B113" s="160" t="str">
        <f t="shared" si="24"/>
        <v/>
      </c>
      <c r="C113" s="472">
        <f>IF(D93="","-",+C112+1)</f>
        <v>2028</v>
      </c>
      <c r="D113" s="347">
        <f>IF(F112+SUM(E$99:E112)=D$92,F112,D$92-SUM(E$99:E112))</f>
        <v>1510019.2366666663</v>
      </c>
      <c r="E113" s="484">
        <f t="shared" si="34"/>
        <v>57606</v>
      </c>
      <c r="F113" s="485">
        <f t="shared" si="35"/>
        <v>1452413.2366666663</v>
      </c>
      <c r="G113" s="485">
        <f t="shared" si="36"/>
        <v>1481216.2366666663</v>
      </c>
      <c r="H113" s="486">
        <f t="shared" si="37"/>
        <v>220810.33443841961</v>
      </c>
      <c r="I113" s="542">
        <f t="shared" si="38"/>
        <v>220810.33443841961</v>
      </c>
      <c r="J113" s="478">
        <f t="shared" si="25"/>
        <v>0</v>
      </c>
      <c r="K113" s="478"/>
      <c r="L113" s="487"/>
      <c r="M113" s="478">
        <f t="shared" si="39"/>
        <v>0</v>
      </c>
      <c r="N113" s="487"/>
      <c r="O113" s="478">
        <f t="shared" si="26"/>
        <v>0</v>
      </c>
      <c r="P113" s="478">
        <f t="shared" si="27"/>
        <v>0</v>
      </c>
    </row>
    <row r="114" spans="2:16">
      <c r="B114" s="160" t="str">
        <f t="shared" si="24"/>
        <v/>
      </c>
      <c r="C114" s="472">
        <f>IF(D93="","-",+C113+1)</f>
        <v>2029</v>
      </c>
      <c r="D114" s="347">
        <f>IF(F113+SUM(E$99:E113)=D$92,F113,D$92-SUM(E$99:E113))</f>
        <v>1452413.2366666663</v>
      </c>
      <c r="E114" s="484">
        <f t="shared" si="34"/>
        <v>57606</v>
      </c>
      <c r="F114" s="485">
        <f t="shared" si="35"/>
        <v>1394807.2366666663</v>
      </c>
      <c r="G114" s="485">
        <f t="shared" si="36"/>
        <v>1423610.2366666663</v>
      </c>
      <c r="H114" s="486">
        <f t="shared" si="37"/>
        <v>214463.15253686492</v>
      </c>
      <c r="I114" s="542">
        <f t="shared" si="38"/>
        <v>214463.15253686492</v>
      </c>
      <c r="J114" s="478">
        <f t="shared" si="25"/>
        <v>0</v>
      </c>
      <c r="K114" s="478"/>
      <c r="L114" s="487"/>
      <c r="M114" s="478">
        <f t="shared" si="39"/>
        <v>0</v>
      </c>
      <c r="N114" s="487"/>
      <c r="O114" s="478">
        <f t="shared" si="26"/>
        <v>0</v>
      </c>
      <c r="P114" s="478">
        <f t="shared" si="27"/>
        <v>0</v>
      </c>
    </row>
    <row r="115" spans="2:16">
      <c r="B115" s="160" t="str">
        <f t="shared" si="24"/>
        <v/>
      </c>
      <c r="C115" s="472">
        <f>IF(D93="","-",+C114+1)</f>
        <v>2030</v>
      </c>
      <c r="D115" s="347">
        <f>IF(F114+SUM(E$99:E114)=D$92,F114,D$92-SUM(E$99:E114))</f>
        <v>1394807.2366666663</v>
      </c>
      <c r="E115" s="484">
        <f t="shared" si="34"/>
        <v>57606</v>
      </c>
      <c r="F115" s="485">
        <f t="shared" si="35"/>
        <v>1337201.2366666663</v>
      </c>
      <c r="G115" s="485">
        <f t="shared" si="36"/>
        <v>1366004.2366666663</v>
      </c>
      <c r="H115" s="486">
        <f t="shared" si="37"/>
        <v>208115.97063531025</v>
      </c>
      <c r="I115" s="542">
        <f t="shared" si="38"/>
        <v>208115.97063531025</v>
      </c>
      <c r="J115" s="478">
        <f t="shared" si="25"/>
        <v>0</v>
      </c>
      <c r="K115" s="478"/>
      <c r="L115" s="487"/>
      <c r="M115" s="478">
        <f t="shared" si="39"/>
        <v>0</v>
      </c>
      <c r="N115" s="487"/>
      <c r="O115" s="478">
        <f t="shared" si="26"/>
        <v>0</v>
      </c>
      <c r="P115" s="478">
        <f t="shared" si="27"/>
        <v>0</v>
      </c>
    </row>
    <row r="116" spans="2:16">
      <c r="B116" s="160" t="str">
        <f t="shared" si="24"/>
        <v/>
      </c>
      <c r="C116" s="472">
        <f>IF(D93="","-",+C115+1)</f>
        <v>2031</v>
      </c>
      <c r="D116" s="347">
        <f>IF(F115+SUM(E$99:E115)=D$92,F115,D$92-SUM(E$99:E115))</f>
        <v>1337201.2366666663</v>
      </c>
      <c r="E116" s="484">
        <f t="shared" si="34"/>
        <v>57606</v>
      </c>
      <c r="F116" s="485">
        <f t="shared" si="35"/>
        <v>1279595.2366666663</v>
      </c>
      <c r="G116" s="485">
        <f t="shared" si="36"/>
        <v>1308398.2366666663</v>
      </c>
      <c r="H116" s="486">
        <f t="shared" si="37"/>
        <v>201768.78873375556</v>
      </c>
      <c r="I116" s="542">
        <f t="shared" si="38"/>
        <v>201768.78873375556</v>
      </c>
      <c r="J116" s="478">
        <f t="shared" si="25"/>
        <v>0</v>
      </c>
      <c r="K116" s="478"/>
      <c r="L116" s="487"/>
      <c r="M116" s="478">
        <f t="shared" si="39"/>
        <v>0</v>
      </c>
      <c r="N116" s="487"/>
      <c r="O116" s="478">
        <f t="shared" si="26"/>
        <v>0</v>
      </c>
      <c r="P116" s="478">
        <f t="shared" si="27"/>
        <v>0</v>
      </c>
    </row>
    <row r="117" spans="2:16">
      <c r="B117" s="160" t="str">
        <f t="shared" si="24"/>
        <v/>
      </c>
      <c r="C117" s="472">
        <f>IF(D93="","-",+C116+1)</f>
        <v>2032</v>
      </c>
      <c r="D117" s="347">
        <f>IF(F116+SUM(E$99:E116)=D$92,F116,D$92-SUM(E$99:E116))</f>
        <v>1279595.2366666663</v>
      </c>
      <c r="E117" s="484">
        <f t="shared" si="34"/>
        <v>57606</v>
      </c>
      <c r="F117" s="485">
        <f t="shared" si="35"/>
        <v>1221989.2366666663</v>
      </c>
      <c r="G117" s="485">
        <f t="shared" si="36"/>
        <v>1250792.2366666663</v>
      </c>
      <c r="H117" s="486">
        <f t="shared" si="37"/>
        <v>195421.60683220089</v>
      </c>
      <c r="I117" s="542">
        <f t="shared" si="38"/>
        <v>195421.60683220089</v>
      </c>
      <c r="J117" s="478">
        <f t="shared" si="25"/>
        <v>0</v>
      </c>
      <c r="K117" s="478"/>
      <c r="L117" s="487"/>
      <c r="M117" s="478">
        <f t="shared" si="39"/>
        <v>0</v>
      </c>
      <c r="N117" s="487"/>
      <c r="O117" s="478">
        <f t="shared" si="26"/>
        <v>0</v>
      </c>
      <c r="P117" s="478">
        <f t="shared" si="27"/>
        <v>0</v>
      </c>
    </row>
    <row r="118" spans="2:16">
      <c r="B118" s="160" t="str">
        <f t="shared" si="24"/>
        <v/>
      </c>
      <c r="C118" s="472">
        <f>IF(D93="","-",+C117+1)</f>
        <v>2033</v>
      </c>
      <c r="D118" s="347">
        <f>IF(F117+SUM(E$99:E117)=D$92,F117,D$92-SUM(E$99:E117))</f>
        <v>1221989.2366666663</v>
      </c>
      <c r="E118" s="484">
        <f t="shared" si="34"/>
        <v>57606</v>
      </c>
      <c r="F118" s="485">
        <f t="shared" si="35"/>
        <v>1164383.2366666663</v>
      </c>
      <c r="G118" s="485">
        <f t="shared" si="36"/>
        <v>1193186.2366666663</v>
      </c>
      <c r="H118" s="486">
        <f t="shared" si="37"/>
        <v>189074.4249306462</v>
      </c>
      <c r="I118" s="542">
        <f t="shared" si="38"/>
        <v>189074.4249306462</v>
      </c>
      <c r="J118" s="478">
        <f t="shared" si="25"/>
        <v>0</v>
      </c>
      <c r="K118" s="478"/>
      <c r="L118" s="487"/>
      <c r="M118" s="478">
        <f t="shared" si="39"/>
        <v>0</v>
      </c>
      <c r="N118" s="487"/>
      <c r="O118" s="478">
        <f t="shared" si="26"/>
        <v>0</v>
      </c>
      <c r="P118" s="478">
        <f t="shared" si="27"/>
        <v>0</v>
      </c>
    </row>
    <row r="119" spans="2:16">
      <c r="B119" s="160" t="str">
        <f t="shared" si="24"/>
        <v/>
      </c>
      <c r="C119" s="472">
        <f>IF(D93="","-",+C118+1)</f>
        <v>2034</v>
      </c>
      <c r="D119" s="347">
        <f>IF(F118+SUM(E$99:E118)=D$92,F118,D$92-SUM(E$99:E118))</f>
        <v>1164383.2366666663</v>
      </c>
      <c r="E119" s="484">
        <f t="shared" si="34"/>
        <v>57606</v>
      </c>
      <c r="F119" s="485">
        <f t="shared" si="35"/>
        <v>1106777.2366666663</v>
      </c>
      <c r="G119" s="485">
        <f t="shared" si="36"/>
        <v>1135580.2366666663</v>
      </c>
      <c r="H119" s="486">
        <f t="shared" si="37"/>
        <v>182727.24302909151</v>
      </c>
      <c r="I119" s="542">
        <f t="shared" si="38"/>
        <v>182727.24302909151</v>
      </c>
      <c r="J119" s="478">
        <f t="shared" si="25"/>
        <v>0</v>
      </c>
      <c r="K119" s="478"/>
      <c r="L119" s="487"/>
      <c r="M119" s="478">
        <f t="shared" si="39"/>
        <v>0</v>
      </c>
      <c r="N119" s="487"/>
      <c r="O119" s="478">
        <f t="shared" si="26"/>
        <v>0</v>
      </c>
      <c r="P119" s="478">
        <f t="shared" si="27"/>
        <v>0</v>
      </c>
    </row>
    <row r="120" spans="2:16">
      <c r="B120" s="160" t="str">
        <f t="shared" si="24"/>
        <v/>
      </c>
      <c r="C120" s="472">
        <f>IF(D93="","-",+C119+1)</f>
        <v>2035</v>
      </c>
      <c r="D120" s="347">
        <f>IF(F119+SUM(E$99:E119)=D$92,F119,D$92-SUM(E$99:E119))</f>
        <v>1106777.2366666663</v>
      </c>
      <c r="E120" s="484">
        <f t="shared" si="34"/>
        <v>57606</v>
      </c>
      <c r="F120" s="485">
        <f t="shared" si="35"/>
        <v>1049171.2366666663</v>
      </c>
      <c r="G120" s="485">
        <f t="shared" si="36"/>
        <v>1077974.2366666663</v>
      </c>
      <c r="H120" s="486">
        <f t="shared" si="37"/>
        <v>176380.06112753684</v>
      </c>
      <c r="I120" s="542">
        <f t="shared" si="38"/>
        <v>176380.06112753684</v>
      </c>
      <c r="J120" s="478">
        <f t="shared" si="25"/>
        <v>0</v>
      </c>
      <c r="K120" s="478"/>
      <c r="L120" s="487"/>
      <c r="M120" s="478">
        <f t="shared" si="39"/>
        <v>0</v>
      </c>
      <c r="N120" s="487"/>
      <c r="O120" s="478">
        <f t="shared" si="26"/>
        <v>0</v>
      </c>
      <c r="P120" s="478">
        <f t="shared" si="27"/>
        <v>0</v>
      </c>
    </row>
    <row r="121" spans="2:16">
      <c r="B121" s="160" t="str">
        <f t="shared" si="24"/>
        <v/>
      </c>
      <c r="C121" s="472">
        <f>IF(D93="","-",+C120+1)</f>
        <v>2036</v>
      </c>
      <c r="D121" s="347">
        <f>IF(F120+SUM(E$99:E120)=D$92,F120,D$92-SUM(E$99:E120))</f>
        <v>1049171.2366666663</v>
      </c>
      <c r="E121" s="484">
        <f t="shared" si="34"/>
        <v>57606</v>
      </c>
      <c r="F121" s="485">
        <f t="shared" si="35"/>
        <v>991565.23666666634</v>
      </c>
      <c r="G121" s="485">
        <f t="shared" si="36"/>
        <v>1020368.2366666663</v>
      </c>
      <c r="H121" s="486">
        <f t="shared" si="37"/>
        <v>170032.87922598218</v>
      </c>
      <c r="I121" s="542">
        <f t="shared" si="38"/>
        <v>170032.87922598218</v>
      </c>
      <c r="J121" s="478">
        <f t="shared" si="25"/>
        <v>0</v>
      </c>
      <c r="K121" s="478"/>
      <c r="L121" s="487"/>
      <c r="M121" s="478">
        <f t="shared" si="39"/>
        <v>0</v>
      </c>
      <c r="N121" s="487"/>
      <c r="O121" s="478">
        <f t="shared" si="26"/>
        <v>0</v>
      </c>
      <c r="P121" s="478">
        <f t="shared" si="27"/>
        <v>0</v>
      </c>
    </row>
    <row r="122" spans="2:16">
      <c r="B122" s="160" t="str">
        <f t="shared" si="24"/>
        <v/>
      </c>
      <c r="C122" s="472">
        <f>IF(D93="","-",+C121+1)</f>
        <v>2037</v>
      </c>
      <c r="D122" s="347">
        <f>IF(F121+SUM(E$99:E121)=D$92,F121,D$92-SUM(E$99:E121))</f>
        <v>991565.23666666634</v>
      </c>
      <c r="E122" s="484">
        <f t="shared" si="34"/>
        <v>57606</v>
      </c>
      <c r="F122" s="485">
        <f t="shared" si="35"/>
        <v>933959.23666666634</v>
      </c>
      <c r="G122" s="485">
        <f t="shared" si="36"/>
        <v>962762.23666666634</v>
      </c>
      <c r="H122" s="486">
        <f t="shared" si="37"/>
        <v>163685.69732442749</v>
      </c>
      <c r="I122" s="542">
        <f t="shared" si="38"/>
        <v>163685.69732442749</v>
      </c>
      <c r="J122" s="478">
        <f t="shared" si="25"/>
        <v>0</v>
      </c>
      <c r="K122" s="478"/>
      <c r="L122" s="487"/>
      <c r="M122" s="478">
        <f t="shared" si="39"/>
        <v>0</v>
      </c>
      <c r="N122" s="487"/>
      <c r="O122" s="478">
        <f t="shared" si="26"/>
        <v>0</v>
      </c>
      <c r="P122" s="478">
        <f t="shared" si="27"/>
        <v>0</v>
      </c>
    </row>
    <row r="123" spans="2:16">
      <c r="B123" s="160" t="str">
        <f t="shared" si="24"/>
        <v/>
      </c>
      <c r="C123" s="472">
        <f>IF(D93="","-",+C122+1)</f>
        <v>2038</v>
      </c>
      <c r="D123" s="347">
        <f>IF(F122+SUM(E$99:E122)=D$92,F122,D$92-SUM(E$99:E122))</f>
        <v>933959.23666666634</v>
      </c>
      <c r="E123" s="484">
        <f t="shared" si="34"/>
        <v>57606</v>
      </c>
      <c r="F123" s="485">
        <f t="shared" si="35"/>
        <v>876353.23666666634</v>
      </c>
      <c r="G123" s="485">
        <f t="shared" si="36"/>
        <v>905156.23666666634</v>
      </c>
      <c r="H123" s="486">
        <f t="shared" si="37"/>
        <v>157338.51542287279</v>
      </c>
      <c r="I123" s="542">
        <f t="shared" si="38"/>
        <v>157338.51542287279</v>
      </c>
      <c r="J123" s="478">
        <f t="shared" si="25"/>
        <v>0</v>
      </c>
      <c r="K123" s="478"/>
      <c r="L123" s="487"/>
      <c r="M123" s="478">
        <f t="shared" si="39"/>
        <v>0</v>
      </c>
      <c r="N123" s="487"/>
      <c r="O123" s="478">
        <f t="shared" si="26"/>
        <v>0</v>
      </c>
      <c r="P123" s="478">
        <f t="shared" si="27"/>
        <v>0</v>
      </c>
    </row>
    <row r="124" spans="2:16">
      <c r="B124" s="160" t="str">
        <f t="shared" si="24"/>
        <v/>
      </c>
      <c r="C124" s="472">
        <f>IF(D93="","-",+C123+1)</f>
        <v>2039</v>
      </c>
      <c r="D124" s="347">
        <f>IF(F123+SUM(E$99:E123)=D$92,F123,D$92-SUM(E$99:E123))</f>
        <v>876353.23666666634</v>
      </c>
      <c r="E124" s="484">
        <f t="shared" si="34"/>
        <v>57606</v>
      </c>
      <c r="F124" s="485">
        <f t="shared" si="35"/>
        <v>818747.23666666634</v>
      </c>
      <c r="G124" s="485">
        <f t="shared" si="36"/>
        <v>847550.23666666634</v>
      </c>
      <c r="H124" s="486">
        <f t="shared" si="37"/>
        <v>150991.3335213181</v>
      </c>
      <c r="I124" s="542">
        <f t="shared" si="38"/>
        <v>150991.3335213181</v>
      </c>
      <c r="J124" s="478">
        <f t="shared" si="25"/>
        <v>0</v>
      </c>
      <c r="K124" s="478"/>
      <c r="L124" s="487"/>
      <c r="M124" s="478">
        <f t="shared" si="39"/>
        <v>0</v>
      </c>
      <c r="N124" s="487"/>
      <c r="O124" s="478">
        <f t="shared" si="26"/>
        <v>0</v>
      </c>
      <c r="P124" s="478">
        <f t="shared" si="27"/>
        <v>0</v>
      </c>
    </row>
    <row r="125" spans="2:16">
      <c r="B125" s="160" t="str">
        <f t="shared" si="24"/>
        <v/>
      </c>
      <c r="C125" s="472">
        <f>IF(D93="","-",+C124+1)</f>
        <v>2040</v>
      </c>
      <c r="D125" s="347">
        <f>IF(F124+SUM(E$99:E124)=D$92,F124,D$92-SUM(E$99:E124))</f>
        <v>818747.23666666634</v>
      </c>
      <c r="E125" s="484">
        <f t="shared" si="34"/>
        <v>57606</v>
      </c>
      <c r="F125" s="485">
        <f t="shared" si="35"/>
        <v>761141.23666666634</v>
      </c>
      <c r="G125" s="485">
        <f t="shared" si="36"/>
        <v>789944.23666666634</v>
      </c>
      <c r="H125" s="486">
        <f t="shared" si="37"/>
        <v>144644.15161976343</v>
      </c>
      <c r="I125" s="542">
        <f t="shared" si="38"/>
        <v>144644.15161976343</v>
      </c>
      <c r="J125" s="478">
        <f t="shared" si="25"/>
        <v>0</v>
      </c>
      <c r="K125" s="478"/>
      <c r="L125" s="487"/>
      <c r="M125" s="478">
        <f t="shared" si="39"/>
        <v>0</v>
      </c>
      <c r="N125" s="487"/>
      <c r="O125" s="478">
        <f t="shared" si="26"/>
        <v>0</v>
      </c>
      <c r="P125" s="478">
        <f t="shared" si="27"/>
        <v>0</v>
      </c>
    </row>
    <row r="126" spans="2:16">
      <c r="B126" s="160" t="str">
        <f t="shared" si="24"/>
        <v/>
      </c>
      <c r="C126" s="472">
        <f>IF(D93="","-",+C125+1)</f>
        <v>2041</v>
      </c>
      <c r="D126" s="347">
        <f>IF(F125+SUM(E$99:E125)=D$92,F125,D$92-SUM(E$99:E125))</f>
        <v>761141.23666666634</v>
      </c>
      <c r="E126" s="484">
        <f t="shared" si="34"/>
        <v>57606</v>
      </c>
      <c r="F126" s="485">
        <f t="shared" si="35"/>
        <v>703535.23666666634</v>
      </c>
      <c r="G126" s="485">
        <f t="shared" si="36"/>
        <v>732338.23666666634</v>
      </c>
      <c r="H126" s="486">
        <f t="shared" si="37"/>
        <v>138296.96971820877</v>
      </c>
      <c r="I126" s="542">
        <f t="shared" si="38"/>
        <v>138296.96971820877</v>
      </c>
      <c r="J126" s="478">
        <f t="shared" si="25"/>
        <v>0</v>
      </c>
      <c r="K126" s="478"/>
      <c r="L126" s="487"/>
      <c r="M126" s="478">
        <f t="shared" si="39"/>
        <v>0</v>
      </c>
      <c r="N126" s="487"/>
      <c r="O126" s="478">
        <f t="shared" si="26"/>
        <v>0</v>
      </c>
      <c r="P126" s="478">
        <f t="shared" si="27"/>
        <v>0</v>
      </c>
    </row>
    <row r="127" spans="2:16">
      <c r="B127" s="160" t="str">
        <f t="shared" si="24"/>
        <v/>
      </c>
      <c r="C127" s="472">
        <f>IF(D93="","-",+C126+1)</f>
        <v>2042</v>
      </c>
      <c r="D127" s="347">
        <f>IF(F126+SUM(E$99:E126)=D$92,F126,D$92-SUM(E$99:E126))</f>
        <v>703535.23666666634</v>
      </c>
      <c r="E127" s="484">
        <f t="shared" si="34"/>
        <v>57606</v>
      </c>
      <c r="F127" s="485">
        <f t="shared" si="35"/>
        <v>645929.23666666634</v>
      </c>
      <c r="G127" s="485">
        <f t="shared" si="36"/>
        <v>674732.23666666634</v>
      </c>
      <c r="H127" s="486">
        <f t="shared" si="37"/>
        <v>131949.78781665408</v>
      </c>
      <c r="I127" s="542">
        <f t="shared" si="38"/>
        <v>131949.78781665408</v>
      </c>
      <c r="J127" s="478">
        <f t="shared" si="25"/>
        <v>0</v>
      </c>
      <c r="K127" s="478"/>
      <c r="L127" s="487"/>
      <c r="M127" s="478">
        <f t="shared" si="39"/>
        <v>0</v>
      </c>
      <c r="N127" s="487"/>
      <c r="O127" s="478">
        <f t="shared" si="26"/>
        <v>0</v>
      </c>
      <c r="P127" s="478">
        <f t="shared" si="27"/>
        <v>0</v>
      </c>
    </row>
    <row r="128" spans="2:16">
      <c r="B128" s="160" t="str">
        <f t="shared" si="24"/>
        <v/>
      </c>
      <c r="C128" s="472">
        <f>IF(D93="","-",+C127+1)</f>
        <v>2043</v>
      </c>
      <c r="D128" s="347">
        <f>IF(F127+SUM(E$99:E127)=D$92,F127,D$92-SUM(E$99:E127))</f>
        <v>645929.23666666634</v>
      </c>
      <c r="E128" s="484">
        <f t="shared" si="34"/>
        <v>57606</v>
      </c>
      <c r="F128" s="485">
        <f t="shared" si="35"/>
        <v>588323.23666666634</v>
      </c>
      <c r="G128" s="485">
        <f t="shared" si="36"/>
        <v>617126.23666666634</v>
      </c>
      <c r="H128" s="486">
        <f t="shared" si="37"/>
        <v>125602.6059150994</v>
      </c>
      <c r="I128" s="542">
        <f t="shared" si="38"/>
        <v>125602.6059150994</v>
      </c>
      <c r="J128" s="478">
        <f t="shared" si="25"/>
        <v>0</v>
      </c>
      <c r="K128" s="478"/>
      <c r="L128" s="487"/>
      <c r="M128" s="478">
        <f t="shared" si="39"/>
        <v>0</v>
      </c>
      <c r="N128" s="487"/>
      <c r="O128" s="478">
        <f t="shared" si="26"/>
        <v>0</v>
      </c>
      <c r="P128" s="478">
        <f t="shared" si="27"/>
        <v>0</v>
      </c>
    </row>
    <row r="129" spans="2:16">
      <c r="B129" s="160" t="str">
        <f t="shared" si="24"/>
        <v/>
      </c>
      <c r="C129" s="472">
        <f>IF(D93="","-",+C128+1)</f>
        <v>2044</v>
      </c>
      <c r="D129" s="347">
        <f>IF(F128+SUM(E$99:E128)=D$92,F128,D$92-SUM(E$99:E128))</f>
        <v>588323.23666666634</v>
      </c>
      <c r="E129" s="484">
        <f t="shared" si="34"/>
        <v>57606</v>
      </c>
      <c r="F129" s="485">
        <f t="shared" si="35"/>
        <v>530717.23666666634</v>
      </c>
      <c r="G129" s="485">
        <f t="shared" si="36"/>
        <v>559520.23666666634</v>
      </c>
      <c r="H129" s="486">
        <f t="shared" si="37"/>
        <v>119255.42401354472</v>
      </c>
      <c r="I129" s="542">
        <f t="shared" si="38"/>
        <v>119255.42401354472</v>
      </c>
      <c r="J129" s="478">
        <f t="shared" si="25"/>
        <v>0</v>
      </c>
      <c r="K129" s="478"/>
      <c r="L129" s="487"/>
      <c r="M129" s="478">
        <f t="shared" si="39"/>
        <v>0</v>
      </c>
      <c r="N129" s="487"/>
      <c r="O129" s="478">
        <f t="shared" si="26"/>
        <v>0</v>
      </c>
      <c r="P129" s="478">
        <f t="shared" si="27"/>
        <v>0</v>
      </c>
    </row>
    <row r="130" spans="2:16">
      <c r="B130" s="160" t="str">
        <f t="shared" si="24"/>
        <v/>
      </c>
      <c r="C130" s="472">
        <f>IF(D93="","-",+C129+1)</f>
        <v>2045</v>
      </c>
      <c r="D130" s="347">
        <f>IF(F129+SUM(E$99:E129)=D$92,F129,D$92-SUM(E$99:E129))</f>
        <v>530717.23666666634</v>
      </c>
      <c r="E130" s="484">
        <f t="shared" si="34"/>
        <v>57606</v>
      </c>
      <c r="F130" s="485">
        <f t="shared" si="35"/>
        <v>473111.23666666634</v>
      </c>
      <c r="G130" s="485">
        <f t="shared" si="36"/>
        <v>501914.23666666634</v>
      </c>
      <c r="H130" s="486">
        <f t="shared" si="37"/>
        <v>112908.24211199002</v>
      </c>
      <c r="I130" s="542">
        <f t="shared" si="38"/>
        <v>112908.24211199002</v>
      </c>
      <c r="J130" s="478">
        <f t="shared" si="25"/>
        <v>0</v>
      </c>
      <c r="K130" s="478"/>
      <c r="L130" s="487"/>
      <c r="M130" s="478">
        <f t="shared" si="39"/>
        <v>0</v>
      </c>
      <c r="N130" s="487"/>
      <c r="O130" s="478">
        <f t="shared" si="26"/>
        <v>0</v>
      </c>
      <c r="P130" s="478">
        <f t="shared" si="27"/>
        <v>0</v>
      </c>
    </row>
    <row r="131" spans="2:16">
      <c r="B131" s="160" t="str">
        <f t="shared" si="24"/>
        <v/>
      </c>
      <c r="C131" s="472">
        <f>IF(D93="","-",+C130+1)</f>
        <v>2046</v>
      </c>
      <c r="D131" s="347">
        <f>IF(F130+SUM(E$99:E130)=D$92,F130,D$92-SUM(E$99:E130))</f>
        <v>473111.23666666634</v>
      </c>
      <c r="E131" s="484">
        <f t="shared" si="34"/>
        <v>57606</v>
      </c>
      <c r="F131" s="485">
        <f t="shared" si="35"/>
        <v>415505.23666666634</v>
      </c>
      <c r="G131" s="485">
        <f t="shared" si="36"/>
        <v>444308.23666666634</v>
      </c>
      <c r="H131" s="486">
        <f t="shared" si="37"/>
        <v>106561.06021043535</v>
      </c>
      <c r="I131" s="542">
        <f t="shared" si="38"/>
        <v>106561.06021043535</v>
      </c>
      <c r="J131" s="478">
        <f t="shared" si="25"/>
        <v>0</v>
      </c>
      <c r="K131" s="478"/>
      <c r="L131" s="487"/>
      <c r="M131" s="478">
        <f t="shared" ref="M131:M154" si="40">IF(L541&lt;&gt;0,+H541-L541,0)</f>
        <v>0</v>
      </c>
      <c r="N131" s="487"/>
      <c r="O131" s="478">
        <f t="shared" ref="O131:O154" si="41">IF(N541&lt;&gt;0,+I541-N541,0)</f>
        <v>0</v>
      </c>
      <c r="P131" s="478">
        <f t="shared" ref="P131:P154" si="42">+O541-M541</f>
        <v>0</v>
      </c>
    </row>
    <row r="132" spans="2:16">
      <c r="B132" s="160" t="str">
        <f t="shared" si="24"/>
        <v/>
      </c>
      <c r="C132" s="472">
        <f>IF(D93="","-",+C131+1)</f>
        <v>2047</v>
      </c>
      <c r="D132" s="347">
        <f>IF(F131+SUM(E$99:E131)=D$92,F131,D$92-SUM(E$99:E131))</f>
        <v>415505.23666666634</v>
      </c>
      <c r="E132" s="484">
        <f t="shared" si="34"/>
        <v>57606</v>
      </c>
      <c r="F132" s="485">
        <f t="shared" si="35"/>
        <v>357899.23666666634</v>
      </c>
      <c r="G132" s="485">
        <f t="shared" si="36"/>
        <v>386702.23666666634</v>
      </c>
      <c r="H132" s="486">
        <f t="shared" si="37"/>
        <v>100213.87830888067</v>
      </c>
      <c r="I132" s="542">
        <f t="shared" si="38"/>
        <v>100213.87830888067</v>
      </c>
      <c r="J132" s="478">
        <f t="shared" si="25"/>
        <v>0</v>
      </c>
      <c r="K132" s="478"/>
      <c r="L132" s="487"/>
      <c r="M132" s="478">
        <f t="shared" si="40"/>
        <v>0</v>
      </c>
      <c r="N132" s="487"/>
      <c r="O132" s="478">
        <f t="shared" si="41"/>
        <v>0</v>
      </c>
      <c r="P132" s="478">
        <f t="shared" si="42"/>
        <v>0</v>
      </c>
    </row>
    <row r="133" spans="2:16">
      <c r="B133" s="160" t="str">
        <f t="shared" si="24"/>
        <v/>
      </c>
      <c r="C133" s="472">
        <f>IF(D93="","-",+C132+1)</f>
        <v>2048</v>
      </c>
      <c r="D133" s="347">
        <f>IF(F132+SUM(E$99:E132)=D$92,F132,D$92-SUM(E$99:E132))</f>
        <v>357899.23666666634</v>
      </c>
      <c r="E133" s="484">
        <f t="shared" si="34"/>
        <v>57606</v>
      </c>
      <c r="F133" s="485">
        <f t="shared" si="35"/>
        <v>300293.23666666634</v>
      </c>
      <c r="G133" s="485">
        <f t="shared" si="36"/>
        <v>329096.23666666634</v>
      </c>
      <c r="H133" s="486">
        <f t="shared" si="37"/>
        <v>93866.696407325988</v>
      </c>
      <c r="I133" s="542">
        <f t="shared" si="38"/>
        <v>93866.696407325988</v>
      </c>
      <c r="J133" s="478">
        <f t="shared" si="25"/>
        <v>0</v>
      </c>
      <c r="K133" s="478"/>
      <c r="L133" s="487"/>
      <c r="M133" s="478">
        <f t="shared" si="40"/>
        <v>0</v>
      </c>
      <c r="N133" s="487"/>
      <c r="O133" s="478">
        <f t="shared" si="41"/>
        <v>0</v>
      </c>
      <c r="P133" s="478">
        <f t="shared" si="42"/>
        <v>0</v>
      </c>
    </row>
    <row r="134" spans="2:16">
      <c r="B134" s="160" t="str">
        <f t="shared" si="24"/>
        <v/>
      </c>
      <c r="C134" s="472">
        <f>IF(D93="","-",+C133+1)</f>
        <v>2049</v>
      </c>
      <c r="D134" s="347">
        <f>IF(F133+SUM(E$99:E133)=D$92,F133,D$92-SUM(E$99:E133))</f>
        <v>300293.23666666634</v>
      </c>
      <c r="E134" s="484">
        <f t="shared" si="34"/>
        <v>57606</v>
      </c>
      <c r="F134" s="485">
        <f t="shared" si="35"/>
        <v>242687.23666666634</v>
      </c>
      <c r="G134" s="485">
        <f t="shared" si="36"/>
        <v>271490.23666666634</v>
      </c>
      <c r="H134" s="486">
        <f t="shared" si="37"/>
        <v>87519.514505771309</v>
      </c>
      <c r="I134" s="542">
        <f t="shared" si="38"/>
        <v>87519.514505771309</v>
      </c>
      <c r="J134" s="478">
        <f t="shared" si="25"/>
        <v>0</v>
      </c>
      <c r="K134" s="478"/>
      <c r="L134" s="487"/>
      <c r="M134" s="478">
        <f t="shared" si="40"/>
        <v>0</v>
      </c>
      <c r="N134" s="487"/>
      <c r="O134" s="478">
        <f t="shared" si="41"/>
        <v>0</v>
      </c>
      <c r="P134" s="478">
        <f t="shared" si="42"/>
        <v>0</v>
      </c>
    </row>
    <row r="135" spans="2:16">
      <c r="B135" s="160" t="str">
        <f t="shared" si="24"/>
        <v/>
      </c>
      <c r="C135" s="472">
        <f>IF(D93="","-",+C134+1)</f>
        <v>2050</v>
      </c>
      <c r="D135" s="347">
        <f>IF(F134+SUM(E$99:E134)=D$92,F134,D$92-SUM(E$99:E134))</f>
        <v>242687.23666666634</v>
      </c>
      <c r="E135" s="484">
        <f t="shared" si="34"/>
        <v>57606</v>
      </c>
      <c r="F135" s="485">
        <f t="shared" si="35"/>
        <v>185081.23666666634</v>
      </c>
      <c r="G135" s="485">
        <f t="shared" si="36"/>
        <v>213884.23666666634</v>
      </c>
      <c r="H135" s="486">
        <f t="shared" si="37"/>
        <v>81172.332604216615</v>
      </c>
      <c r="I135" s="542">
        <f t="shared" si="38"/>
        <v>81172.332604216615</v>
      </c>
      <c r="J135" s="478">
        <f t="shared" si="25"/>
        <v>0</v>
      </c>
      <c r="K135" s="478"/>
      <c r="L135" s="487"/>
      <c r="M135" s="478">
        <f t="shared" si="40"/>
        <v>0</v>
      </c>
      <c r="N135" s="487"/>
      <c r="O135" s="478">
        <f t="shared" si="41"/>
        <v>0</v>
      </c>
      <c r="P135" s="478">
        <f t="shared" si="42"/>
        <v>0</v>
      </c>
    </row>
    <row r="136" spans="2:16">
      <c r="B136" s="160" t="str">
        <f t="shared" si="24"/>
        <v/>
      </c>
      <c r="C136" s="472">
        <f>IF(D93="","-",+C135+1)</f>
        <v>2051</v>
      </c>
      <c r="D136" s="347">
        <f>IF(F135+SUM(E$99:E135)=D$92,F135,D$92-SUM(E$99:E135))</f>
        <v>185081.23666666634</v>
      </c>
      <c r="E136" s="484">
        <f t="shared" si="34"/>
        <v>57606</v>
      </c>
      <c r="F136" s="485">
        <f t="shared" si="35"/>
        <v>127475.23666666634</v>
      </c>
      <c r="G136" s="485">
        <f t="shared" si="36"/>
        <v>156278.23666666634</v>
      </c>
      <c r="H136" s="486">
        <f t="shared" si="37"/>
        <v>74825.150702661937</v>
      </c>
      <c r="I136" s="542">
        <f t="shared" si="38"/>
        <v>74825.150702661937</v>
      </c>
      <c r="J136" s="478">
        <f t="shared" si="25"/>
        <v>0</v>
      </c>
      <c r="K136" s="478"/>
      <c r="L136" s="487"/>
      <c r="M136" s="478">
        <f t="shared" si="40"/>
        <v>0</v>
      </c>
      <c r="N136" s="487"/>
      <c r="O136" s="478">
        <f t="shared" si="41"/>
        <v>0</v>
      </c>
      <c r="P136" s="478">
        <f t="shared" si="42"/>
        <v>0</v>
      </c>
    </row>
    <row r="137" spans="2:16">
      <c r="B137" s="160" t="str">
        <f t="shared" si="24"/>
        <v/>
      </c>
      <c r="C137" s="472">
        <f>IF(D93="","-",+C136+1)</f>
        <v>2052</v>
      </c>
      <c r="D137" s="347">
        <f>IF(F136+SUM(E$99:E136)=D$92,F136,D$92-SUM(E$99:E136))</f>
        <v>127475.23666666634</v>
      </c>
      <c r="E137" s="484">
        <f t="shared" si="34"/>
        <v>57606</v>
      </c>
      <c r="F137" s="485">
        <f t="shared" si="35"/>
        <v>69869.236666666344</v>
      </c>
      <c r="G137" s="485">
        <f t="shared" si="36"/>
        <v>98672.236666666344</v>
      </c>
      <c r="H137" s="486">
        <f t="shared" si="37"/>
        <v>68477.968801107258</v>
      </c>
      <c r="I137" s="542">
        <f t="shared" si="38"/>
        <v>68477.968801107258</v>
      </c>
      <c r="J137" s="478">
        <f t="shared" si="25"/>
        <v>0</v>
      </c>
      <c r="K137" s="478"/>
      <c r="L137" s="487"/>
      <c r="M137" s="478">
        <f t="shared" si="40"/>
        <v>0</v>
      </c>
      <c r="N137" s="487"/>
      <c r="O137" s="478">
        <f t="shared" si="41"/>
        <v>0</v>
      </c>
      <c r="P137" s="478">
        <f t="shared" si="42"/>
        <v>0</v>
      </c>
    </row>
    <row r="138" spans="2:16">
      <c r="B138" s="160" t="str">
        <f t="shared" si="24"/>
        <v/>
      </c>
      <c r="C138" s="472">
        <f>IF(D93="","-",+C137+1)</f>
        <v>2053</v>
      </c>
      <c r="D138" s="347">
        <f>IF(F137+SUM(E$99:E137)=D$92,F137,D$92-SUM(E$99:E137))</f>
        <v>69869.236666666344</v>
      </c>
      <c r="E138" s="484">
        <f t="shared" si="34"/>
        <v>57606</v>
      </c>
      <c r="F138" s="485">
        <f t="shared" si="35"/>
        <v>12263.236666666344</v>
      </c>
      <c r="G138" s="485">
        <f t="shared" si="36"/>
        <v>41066.236666666344</v>
      </c>
      <c r="H138" s="486">
        <f t="shared" si="37"/>
        <v>62130.786899552579</v>
      </c>
      <c r="I138" s="542">
        <f t="shared" si="38"/>
        <v>62130.786899552579</v>
      </c>
      <c r="J138" s="478">
        <f t="shared" si="25"/>
        <v>0</v>
      </c>
      <c r="K138" s="478"/>
      <c r="L138" s="487"/>
      <c r="M138" s="478">
        <f t="shared" si="40"/>
        <v>0</v>
      </c>
      <c r="N138" s="487"/>
      <c r="O138" s="478">
        <f t="shared" si="41"/>
        <v>0</v>
      </c>
      <c r="P138" s="478">
        <f t="shared" si="42"/>
        <v>0</v>
      </c>
    </row>
    <row r="139" spans="2:16">
      <c r="B139" s="160" t="str">
        <f t="shared" si="24"/>
        <v/>
      </c>
      <c r="C139" s="472">
        <f>IF(D93="","-",+C138+1)</f>
        <v>2054</v>
      </c>
      <c r="D139" s="347">
        <f>IF(F138+SUM(E$99:E138)=D$92,F138,D$92-SUM(E$99:E138))</f>
        <v>12263.236666666344</v>
      </c>
      <c r="E139" s="484">
        <f t="shared" si="34"/>
        <v>12263.236666666344</v>
      </c>
      <c r="F139" s="485">
        <f t="shared" si="35"/>
        <v>0</v>
      </c>
      <c r="G139" s="485">
        <f t="shared" si="36"/>
        <v>6131.6183333331719</v>
      </c>
      <c r="H139" s="486">
        <f t="shared" si="37"/>
        <v>12938.834641053963</v>
      </c>
      <c r="I139" s="542">
        <f t="shared" si="38"/>
        <v>12938.834641053963</v>
      </c>
      <c r="J139" s="478">
        <f t="shared" si="25"/>
        <v>0</v>
      </c>
      <c r="K139" s="478"/>
      <c r="L139" s="487"/>
      <c r="M139" s="478">
        <f t="shared" si="40"/>
        <v>0</v>
      </c>
      <c r="N139" s="487"/>
      <c r="O139" s="478">
        <f t="shared" si="41"/>
        <v>0</v>
      </c>
      <c r="P139" s="478">
        <f t="shared" si="42"/>
        <v>0</v>
      </c>
    </row>
    <row r="140" spans="2:16">
      <c r="B140" s="160" t="str">
        <f t="shared" si="24"/>
        <v/>
      </c>
      <c r="C140" s="472">
        <f>IF(D93="","-",+C139+1)</f>
        <v>2055</v>
      </c>
      <c r="D140" s="347">
        <f>IF(F139+SUM(E$99:E139)=D$92,F139,D$92-SUM(E$99:E139))</f>
        <v>0</v>
      </c>
      <c r="E140" s="484">
        <f t="shared" si="34"/>
        <v>0</v>
      </c>
      <c r="F140" s="485">
        <f t="shared" si="35"/>
        <v>0</v>
      </c>
      <c r="G140" s="485">
        <f t="shared" si="36"/>
        <v>0</v>
      </c>
      <c r="H140" s="486">
        <f t="shared" si="37"/>
        <v>0</v>
      </c>
      <c r="I140" s="542">
        <f t="shared" si="38"/>
        <v>0</v>
      </c>
      <c r="J140" s="478">
        <f t="shared" si="25"/>
        <v>0</v>
      </c>
      <c r="K140" s="478"/>
      <c r="L140" s="487"/>
      <c r="M140" s="478">
        <f t="shared" si="40"/>
        <v>0</v>
      </c>
      <c r="N140" s="487"/>
      <c r="O140" s="478">
        <f t="shared" si="41"/>
        <v>0</v>
      </c>
      <c r="P140" s="478">
        <f t="shared" si="42"/>
        <v>0</v>
      </c>
    </row>
    <row r="141" spans="2:16">
      <c r="B141" s="160" t="str">
        <f t="shared" si="24"/>
        <v/>
      </c>
      <c r="C141" s="472">
        <f>IF(D93="","-",+C140+1)</f>
        <v>2056</v>
      </c>
      <c r="D141" s="347">
        <f>IF(F140+SUM(E$99:E140)=D$92,F140,D$92-SUM(E$99:E140))</f>
        <v>0</v>
      </c>
      <c r="E141" s="484">
        <f t="shared" si="34"/>
        <v>0</v>
      </c>
      <c r="F141" s="485">
        <f t="shared" si="35"/>
        <v>0</v>
      </c>
      <c r="G141" s="485">
        <f t="shared" si="36"/>
        <v>0</v>
      </c>
      <c r="H141" s="486">
        <f t="shared" si="37"/>
        <v>0</v>
      </c>
      <c r="I141" s="542">
        <f t="shared" si="38"/>
        <v>0</v>
      </c>
      <c r="J141" s="478">
        <f t="shared" si="25"/>
        <v>0</v>
      </c>
      <c r="K141" s="478"/>
      <c r="L141" s="487"/>
      <c r="M141" s="478">
        <f t="shared" si="40"/>
        <v>0</v>
      </c>
      <c r="N141" s="487"/>
      <c r="O141" s="478">
        <f t="shared" si="41"/>
        <v>0</v>
      </c>
      <c r="P141" s="478">
        <f t="shared" si="42"/>
        <v>0</v>
      </c>
    </row>
    <row r="142" spans="2:16">
      <c r="B142" s="160" t="str">
        <f t="shared" si="24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34"/>
        <v>0</v>
      </c>
      <c r="F142" s="485">
        <f t="shared" si="35"/>
        <v>0</v>
      </c>
      <c r="G142" s="485">
        <f t="shared" si="36"/>
        <v>0</v>
      </c>
      <c r="H142" s="486">
        <f t="shared" si="37"/>
        <v>0</v>
      </c>
      <c r="I142" s="542">
        <f t="shared" si="38"/>
        <v>0</v>
      </c>
      <c r="J142" s="478">
        <f t="shared" si="25"/>
        <v>0</v>
      </c>
      <c r="K142" s="478"/>
      <c r="L142" s="487"/>
      <c r="M142" s="478">
        <f t="shared" si="40"/>
        <v>0</v>
      </c>
      <c r="N142" s="487"/>
      <c r="O142" s="478">
        <f t="shared" si="41"/>
        <v>0</v>
      </c>
      <c r="P142" s="478">
        <f t="shared" si="42"/>
        <v>0</v>
      </c>
    </row>
    <row r="143" spans="2:16">
      <c r="B143" s="160" t="str">
        <f t="shared" si="24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34"/>
        <v>0</v>
      </c>
      <c r="F143" s="485">
        <f t="shared" si="35"/>
        <v>0</v>
      </c>
      <c r="G143" s="485">
        <f t="shared" si="36"/>
        <v>0</v>
      </c>
      <c r="H143" s="486">
        <f t="shared" si="37"/>
        <v>0</v>
      </c>
      <c r="I143" s="542">
        <f t="shared" si="38"/>
        <v>0</v>
      </c>
      <c r="J143" s="478">
        <f t="shared" si="25"/>
        <v>0</v>
      </c>
      <c r="K143" s="478"/>
      <c r="L143" s="487"/>
      <c r="M143" s="478">
        <f t="shared" si="40"/>
        <v>0</v>
      </c>
      <c r="N143" s="487"/>
      <c r="O143" s="478">
        <f t="shared" si="41"/>
        <v>0</v>
      </c>
      <c r="P143" s="478">
        <f t="shared" si="42"/>
        <v>0</v>
      </c>
    </row>
    <row r="144" spans="2:16">
      <c r="B144" s="160" t="str">
        <f t="shared" si="24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34"/>
        <v>0</v>
      </c>
      <c r="F144" s="485">
        <f t="shared" si="35"/>
        <v>0</v>
      </c>
      <c r="G144" s="485">
        <f t="shared" si="36"/>
        <v>0</v>
      </c>
      <c r="H144" s="486">
        <f t="shared" si="37"/>
        <v>0</v>
      </c>
      <c r="I144" s="542">
        <f t="shared" si="38"/>
        <v>0</v>
      </c>
      <c r="J144" s="478">
        <f t="shared" si="25"/>
        <v>0</v>
      </c>
      <c r="K144" s="478"/>
      <c r="L144" s="487"/>
      <c r="M144" s="478">
        <f t="shared" si="40"/>
        <v>0</v>
      </c>
      <c r="N144" s="487"/>
      <c r="O144" s="478">
        <f t="shared" si="41"/>
        <v>0</v>
      </c>
      <c r="P144" s="478">
        <f t="shared" si="42"/>
        <v>0</v>
      </c>
    </row>
    <row r="145" spans="2:16">
      <c r="B145" s="160" t="str">
        <f t="shared" si="24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34"/>
        <v>0</v>
      </c>
      <c r="F145" s="485">
        <f t="shared" si="35"/>
        <v>0</v>
      </c>
      <c r="G145" s="485">
        <f t="shared" si="36"/>
        <v>0</v>
      </c>
      <c r="H145" s="486">
        <f t="shared" si="37"/>
        <v>0</v>
      </c>
      <c r="I145" s="542">
        <f t="shared" si="38"/>
        <v>0</v>
      </c>
      <c r="J145" s="478">
        <f t="shared" si="25"/>
        <v>0</v>
      </c>
      <c r="K145" s="478"/>
      <c r="L145" s="487"/>
      <c r="M145" s="478">
        <f t="shared" si="40"/>
        <v>0</v>
      </c>
      <c r="N145" s="487"/>
      <c r="O145" s="478">
        <f t="shared" si="41"/>
        <v>0</v>
      </c>
      <c r="P145" s="478">
        <f t="shared" si="42"/>
        <v>0</v>
      </c>
    </row>
    <row r="146" spans="2:16">
      <c r="B146" s="160" t="str">
        <f t="shared" si="24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34"/>
        <v>0</v>
      </c>
      <c r="F146" s="485">
        <f t="shared" si="35"/>
        <v>0</v>
      </c>
      <c r="G146" s="485">
        <f t="shared" si="36"/>
        <v>0</v>
      </c>
      <c r="H146" s="486">
        <f t="shared" si="37"/>
        <v>0</v>
      </c>
      <c r="I146" s="542">
        <f t="shared" si="38"/>
        <v>0</v>
      </c>
      <c r="J146" s="478">
        <f t="shared" si="25"/>
        <v>0</v>
      </c>
      <c r="K146" s="478"/>
      <c r="L146" s="487"/>
      <c r="M146" s="478">
        <f t="shared" si="40"/>
        <v>0</v>
      </c>
      <c r="N146" s="487"/>
      <c r="O146" s="478">
        <f t="shared" si="41"/>
        <v>0</v>
      </c>
      <c r="P146" s="478">
        <f t="shared" si="42"/>
        <v>0</v>
      </c>
    </row>
    <row r="147" spans="2:16">
      <c r="B147" s="160" t="str">
        <f t="shared" si="24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34"/>
        <v>0</v>
      </c>
      <c r="F147" s="485">
        <f t="shared" si="35"/>
        <v>0</v>
      </c>
      <c r="G147" s="485">
        <f t="shared" si="36"/>
        <v>0</v>
      </c>
      <c r="H147" s="486">
        <f t="shared" si="37"/>
        <v>0</v>
      </c>
      <c r="I147" s="542">
        <f t="shared" si="38"/>
        <v>0</v>
      </c>
      <c r="J147" s="478">
        <f t="shared" si="25"/>
        <v>0</v>
      </c>
      <c r="K147" s="478"/>
      <c r="L147" s="487"/>
      <c r="M147" s="478">
        <f t="shared" si="40"/>
        <v>0</v>
      </c>
      <c r="N147" s="487"/>
      <c r="O147" s="478">
        <f t="shared" si="41"/>
        <v>0</v>
      </c>
      <c r="P147" s="478">
        <f t="shared" si="42"/>
        <v>0</v>
      </c>
    </row>
    <row r="148" spans="2:16">
      <c r="B148" s="160" t="str">
        <f t="shared" si="24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34"/>
        <v>0</v>
      </c>
      <c r="F148" s="485">
        <f t="shared" si="35"/>
        <v>0</v>
      </c>
      <c r="G148" s="485">
        <f t="shared" si="36"/>
        <v>0</v>
      </c>
      <c r="H148" s="486">
        <f t="shared" si="37"/>
        <v>0</v>
      </c>
      <c r="I148" s="542">
        <f t="shared" si="38"/>
        <v>0</v>
      </c>
      <c r="J148" s="478">
        <f t="shared" si="25"/>
        <v>0</v>
      </c>
      <c r="K148" s="478"/>
      <c r="L148" s="487"/>
      <c r="M148" s="478">
        <f t="shared" si="40"/>
        <v>0</v>
      </c>
      <c r="N148" s="487"/>
      <c r="O148" s="478">
        <f t="shared" si="41"/>
        <v>0</v>
      </c>
      <c r="P148" s="478">
        <f t="shared" si="42"/>
        <v>0</v>
      </c>
    </row>
    <row r="149" spans="2:16">
      <c r="B149" s="160" t="str">
        <f t="shared" si="24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34"/>
        <v>0</v>
      </c>
      <c r="F149" s="485">
        <f t="shared" si="35"/>
        <v>0</v>
      </c>
      <c r="G149" s="485">
        <f t="shared" si="36"/>
        <v>0</v>
      </c>
      <c r="H149" s="486">
        <f t="shared" si="37"/>
        <v>0</v>
      </c>
      <c r="I149" s="542">
        <f t="shared" si="38"/>
        <v>0</v>
      </c>
      <c r="J149" s="478">
        <f t="shared" si="25"/>
        <v>0</v>
      </c>
      <c r="K149" s="478"/>
      <c r="L149" s="487"/>
      <c r="M149" s="478">
        <f t="shared" si="40"/>
        <v>0</v>
      </c>
      <c r="N149" s="487"/>
      <c r="O149" s="478">
        <f t="shared" si="41"/>
        <v>0</v>
      </c>
      <c r="P149" s="478">
        <f t="shared" si="42"/>
        <v>0</v>
      </c>
    </row>
    <row r="150" spans="2:16">
      <c r="B150" s="160" t="str">
        <f t="shared" si="24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34"/>
        <v>0</v>
      </c>
      <c r="F150" s="485">
        <f t="shared" si="35"/>
        <v>0</v>
      </c>
      <c r="G150" s="485">
        <f t="shared" si="36"/>
        <v>0</v>
      </c>
      <c r="H150" s="486">
        <f t="shared" si="37"/>
        <v>0</v>
      </c>
      <c r="I150" s="542">
        <f t="shared" si="38"/>
        <v>0</v>
      </c>
      <c r="J150" s="478">
        <f t="shared" si="25"/>
        <v>0</v>
      </c>
      <c r="K150" s="478"/>
      <c r="L150" s="487"/>
      <c r="M150" s="478">
        <f t="shared" si="40"/>
        <v>0</v>
      </c>
      <c r="N150" s="487"/>
      <c r="O150" s="478">
        <f t="shared" si="41"/>
        <v>0</v>
      </c>
      <c r="P150" s="478">
        <f t="shared" si="42"/>
        <v>0</v>
      </c>
    </row>
    <row r="151" spans="2:16">
      <c r="B151" s="160" t="str">
        <f t="shared" si="24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34"/>
        <v>0</v>
      </c>
      <c r="F151" s="485">
        <f t="shared" si="35"/>
        <v>0</v>
      </c>
      <c r="G151" s="485">
        <f t="shared" si="36"/>
        <v>0</v>
      </c>
      <c r="H151" s="486">
        <f t="shared" si="37"/>
        <v>0</v>
      </c>
      <c r="I151" s="542">
        <f t="shared" si="38"/>
        <v>0</v>
      </c>
      <c r="J151" s="478">
        <f t="shared" si="25"/>
        <v>0</v>
      </c>
      <c r="K151" s="478"/>
      <c r="L151" s="487"/>
      <c r="M151" s="478">
        <f t="shared" si="40"/>
        <v>0</v>
      </c>
      <c r="N151" s="487"/>
      <c r="O151" s="478">
        <f t="shared" si="41"/>
        <v>0</v>
      </c>
      <c r="P151" s="478">
        <f t="shared" si="42"/>
        <v>0</v>
      </c>
    </row>
    <row r="152" spans="2:16">
      <c r="B152" s="160" t="str">
        <f t="shared" si="24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34"/>
        <v>0</v>
      </c>
      <c r="F152" s="485">
        <f t="shared" si="35"/>
        <v>0</v>
      </c>
      <c r="G152" s="485">
        <f t="shared" si="36"/>
        <v>0</v>
      </c>
      <c r="H152" s="486">
        <f t="shared" si="37"/>
        <v>0</v>
      </c>
      <c r="I152" s="542">
        <f t="shared" si="38"/>
        <v>0</v>
      </c>
      <c r="J152" s="478">
        <f t="shared" si="25"/>
        <v>0</v>
      </c>
      <c r="K152" s="478"/>
      <c r="L152" s="487"/>
      <c r="M152" s="478">
        <f t="shared" si="40"/>
        <v>0</v>
      </c>
      <c r="N152" s="487"/>
      <c r="O152" s="478">
        <f t="shared" si="41"/>
        <v>0</v>
      </c>
      <c r="P152" s="478">
        <f t="shared" si="42"/>
        <v>0</v>
      </c>
    </row>
    <row r="153" spans="2:16">
      <c r="B153" s="160" t="str">
        <f t="shared" si="24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34"/>
        <v>0</v>
      </c>
      <c r="F153" s="485">
        <f t="shared" si="35"/>
        <v>0</v>
      </c>
      <c r="G153" s="485">
        <f t="shared" si="36"/>
        <v>0</v>
      </c>
      <c r="H153" s="486">
        <f t="shared" si="37"/>
        <v>0</v>
      </c>
      <c r="I153" s="542">
        <f t="shared" si="38"/>
        <v>0</v>
      </c>
      <c r="J153" s="478">
        <f t="shared" si="25"/>
        <v>0</v>
      </c>
      <c r="K153" s="478"/>
      <c r="L153" s="487"/>
      <c r="M153" s="478">
        <f t="shared" si="40"/>
        <v>0</v>
      </c>
      <c r="N153" s="487"/>
      <c r="O153" s="478">
        <f t="shared" si="41"/>
        <v>0</v>
      </c>
      <c r="P153" s="478">
        <f t="shared" si="42"/>
        <v>0</v>
      </c>
    </row>
    <row r="154" spans="2:16" ht="13.5" thickBot="1">
      <c r="B154" s="160" t="str">
        <f t="shared" si="24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34"/>
        <v>0</v>
      </c>
      <c r="F154" s="490">
        <f t="shared" si="35"/>
        <v>0</v>
      </c>
      <c r="G154" s="490">
        <f t="shared" si="36"/>
        <v>0</v>
      </c>
      <c r="H154" s="492">
        <f t="shared" ref="H154" si="43">+J$94*G154+E154</f>
        <v>0</v>
      </c>
      <c r="I154" s="545">
        <f t="shared" ref="I154" si="44">+J$95*G154+E154</f>
        <v>0</v>
      </c>
      <c r="J154" s="495">
        <f t="shared" si="25"/>
        <v>0</v>
      </c>
      <c r="K154" s="495"/>
      <c r="L154" s="494"/>
      <c r="M154" s="495">
        <f t="shared" si="40"/>
        <v>0</v>
      </c>
      <c r="N154" s="494"/>
      <c r="O154" s="495">
        <f t="shared" si="41"/>
        <v>0</v>
      </c>
      <c r="P154" s="495">
        <f t="shared" si="42"/>
        <v>0</v>
      </c>
    </row>
    <row r="155" spans="2:16">
      <c r="C155" s="347" t="s">
        <v>77</v>
      </c>
      <c r="D155" s="348"/>
      <c r="E155" s="348">
        <f>SUM(E99:E154)</f>
        <v>2246628.5699999998</v>
      </c>
      <c r="F155" s="348"/>
      <c r="G155" s="348"/>
      <c r="H155" s="348">
        <f>SUM(H99:H154)</f>
        <v>7389011.5624085125</v>
      </c>
      <c r="I155" s="348">
        <f>SUM(I99:I154)</f>
        <v>7389011.5624085125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5" priority="1" stopIfTrue="1" operator="equal">
      <formula>$I$10</formula>
    </cfRule>
  </conditionalFormatting>
  <conditionalFormatting sqref="C99:C154">
    <cfRule type="cellIs" dxfId="3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5"/>
  <dimension ref="A1:P162"/>
  <sheetViews>
    <sheetView view="pageBreakPreview" zoomScale="80" zoomScaleNormal="100" zoomScaleSheetLayoutView="80" workbookViewId="0">
      <selection activeCell="E19" sqref="E19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16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568130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568130</v>
      </c>
      <c r="O6" s="233"/>
      <c r="P6" s="233"/>
    </row>
    <row r="7" spans="1:16" ht="13.5" thickBot="1">
      <c r="C7" s="431" t="s">
        <v>46</v>
      </c>
      <c r="D7" s="599" t="s">
        <v>252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251</v>
      </c>
      <c r="E9" s="577" t="s">
        <v>259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5059278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120459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84">
        <v>5300000</v>
      </c>
      <c r="E17" s="608">
        <v>0</v>
      </c>
      <c r="F17" s="584">
        <v>5300000</v>
      </c>
      <c r="G17" s="608">
        <v>729591.46876123699</v>
      </c>
      <c r="H17" s="587">
        <v>729591.46876123699</v>
      </c>
      <c r="I17" s="475">
        <v>0</v>
      </c>
      <c r="J17" s="475"/>
      <c r="K17" s="476">
        <f t="shared" ref="K17:K22" si="0">G17</f>
        <v>729591.46876123699</v>
      </c>
      <c r="L17" s="603">
        <f t="shared" ref="L17:L22" si="1">IF(K17&lt;&gt;0,+G17-K17,0)</f>
        <v>0</v>
      </c>
      <c r="M17" s="476">
        <f t="shared" ref="M17:M22" si="2">H17</f>
        <v>729591.46876123699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84">
        <v>5300000</v>
      </c>
      <c r="E18" s="585">
        <v>101923.07692307692</v>
      </c>
      <c r="F18" s="584">
        <v>5198076.923076923</v>
      </c>
      <c r="G18" s="585">
        <v>818590.55430690572</v>
      </c>
      <c r="H18" s="587">
        <v>818590.55430690572</v>
      </c>
      <c r="I18" s="475">
        <v>0</v>
      </c>
      <c r="J18" s="475"/>
      <c r="K18" s="476">
        <f t="shared" si="0"/>
        <v>818590.55430690572</v>
      </c>
      <c r="L18" s="603">
        <f t="shared" si="1"/>
        <v>0</v>
      </c>
      <c r="M18" s="476">
        <f t="shared" si="2"/>
        <v>818590.55430690572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2016</v>
      </c>
      <c r="D19" s="584">
        <v>4969414.923076923</v>
      </c>
      <c r="E19" s="585">
        <v>97525.730769230766</v>
      </c>
      <c r="F19" s="584">
        <v>4871889.192307692</v>
      </c>
      <c r="G19" s="585">
        <v>736520.73076923075</v>
      </c>
      <c r="H19" s="587">
        <v>736520.73076923075</v>
      </c>
      <c r="I19" s="475">
        <f>H19-G19</f>
        <v>0</v>
      </c>
      <c r="J19" s="475"/>
      <c r="K19" s="476">
        <f t="shared" si="0"/>
        <v>736520.73076923075</v>
      </c>
      <c r="L19" s="603">
        <f t="shared" si="1"/>
        <v>0</v>
      </c>
      <c r="M19" s="476">
        <f t="shared" si="2"/>
        <v>736520.73076923075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84">
        <v>4859829.192307692</v>
      </c>
      <c r="E20" s="585">
        <v>109984.30434782608</v>
      </c>
      <c r="F20" s="584">
        <v>4749844.8879598659</v>
      </c>
      <c r="G20" s="585">
        <v>714452.30434782605</v>
      </c>
      <c r="H20" s="587">
        <v>714452.30434782605</v>
      </c>
      <c r="I20" s="475">
        <f t="shared" ref="I20:I72" si="4">H20-G20</f>
        <v>0</v>
      </c>
      <c r="J20" s="475"/>
      <c r="K20" s="476">
        <f t="shared" si="0"/>
        <v>714452.30434782605</v>
      </c>
      <c r="L20" s="603">
        <f t="shared" si="1"/>
        <v>0</v>
      </c>
      <c r="M20" s="476">
        <f t="shared" si="2"/>
        <v>714452.30434782605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/>
      </c>
      <c r="C21" s="472">
        <f>IF(D11="","-",+C20+1)</f>
        <v>2018</v>
      </c>
      <c r="D21" s="584">
        <v>4749844.8879598659</v>
      </c>
      <c r="E21" s="585">
        <v>112428.4</v>
      </c>
      <c r="F21" s="584">
        <v>4637416.4879598655</v>
      </c>
      <c r="G21" s="585">
        <v>674532.63926355843</v>
      </c>
      <c r="H21" s="587">
        <v>674532.63926355843</v>
      </c>
      <c r="I21" s="475">
        <f t="shared" si="4"/>
        <v>0</v>
      </c>
      <c r="J21" s="475"/>
      <c r="K21" s="476">
        <f t="shared" si="0"/>
        <v>674532.63926355843</v>
      </c>
      <c r="L21" s="603">
        <f t="shared" si="1"/>
        <v>0</v>
      </c>
      <c r="M21" s="476">
        <f t="shared" si="2"/>
        <v>674532.63926355843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/>
      </c>
      <c r="C22" s="472">
        <f>IF(D11="","-",+C21+1)</f>
        <v>2019</v>
      </c>
      <c r="D22" s="584">
        <v>4637416.4879598655</v>
      </c>
      <c r="E22" s="585">
        <v>126481.95</v>
      </c>
      <c r="F22" s="584">
        <v>4510934.5379598653</v>
      </c>
      <c r="G22" s="585">
        <v>637218.97874084802</v>
      </c>
      <c r="H22" s="587">
        <v>637218.97874084802</v>
      </c>
      <c r="I22" s="475">
        <f t="shared" si="4"/>
        <v>0</v>
      </c>
      <c r="J22" s="475"/>
      <c r="K22" s="476">
        <f t="shared" si="0"/>
        <v>637218.97874084802</v>
      </c>
      <c r="L22" s="603">
        <f t="shared" si="1"/>
        <v>0</v>
      </c>
      <c r="M22" s="476">
        <f t="shared" si="2"/>
        <v>637218.97874084802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>IU</v>
      </c>
      <c r="C23" s="472">
        <f>IF(D11="","-",+C22+1)</f>
        <v>2020</v>
      </c>
      <c r="D23" s="584">
        <v>4524988.0879598651</v>
      </c>
      <c r="E23" s="585">
        <v>120459</v>
      </c>
      <c r="F23" s="584">
        <v>4404529.0879598651</v>
      </c>
      <c r="G23" s="585">
        <v>602674.25524940272</v>
      </c>
      <c r="H23" s="587">
        <v>602674.25524940272</v>
      </c>
      <c r="I23" s="475">
        <f t="shared" si="4"/>
        <v>0</v>
      </c>
      <c r="J23" s="475"/>
      <c r="K23" s="476">
        <f t="shared" ref="K23" si="7">G23</f>
        <v>602674.25524940272</v>
      </c>
      <c r="L23" s="603">
        <f t="shared" ref="L23" si="8">IF(K23&lt;&gt;0,+G23-K23,0)</f>
        <v>0</v>
      </c>
      <c r="M23" s="476">
        <f t="shared" ref="M23" si="9">H23</f>
        <v>602674.25524940272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84">
        <v>4390475.5379598662</v>
      </c>
      <c r="E24" s="585">
        <v>117657.62790697675</v>
      </c>
      <c r="F24" s="584">
        <v>4272817.910052889</v>
      </c>
      <c r="G24" s="585">
        <v>578359.62790697673</v>
      </c>
      <c r="H24" s="587">
        <v>578359.62790697673</v>
      </c>
      <c r="I24" s="475">
        <f t="shared" si="4"/>
        <v>0</v>
      </c>
      <c r="J24" s="475"/>
      <c r="K24" s="476">
        <f t="shared" ref="K24" si="10">G24</f>
        <v>578359.62790697673</v>
      </c>
      <c r="L24" s="603">
        <f t="shared" ref="L24" si="11">IF(K24&lt;&gt;0,+G24-K24,0)</f>
        <v>0</v>
      </c>
      <c r="M24" s="476">
        <f t="shared" ref="M24" si="12">H24</f>
        <v>578359.62790697673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/>
      </c>
      <c r="C25" s="472">
        <f>IF(D11="","-",+C24+1)</f>
        <v>2022</v>
      </c>
      <c r="D25" s="584">
        <v>4272817.910052889</v>
      </c>
      <c r="E25" s="585">
        <v>120459</v>
      </c>
      <c r="F25" s="584">
        <v>4152358.910052889</v>
      </c>
      <c r="G25" s="585">
        <v>568130</v>
      </c>
      <c r="H25" s="587">
        <v>568130</v>
      </c>
      <c r="I25" s="475">
        <f t="shared" si="4"/>
        <v>0</v>
      </c>
      <c r="J25" s="475"/>
      <c r="K25" s="476">
        <f t="shared" ref="K25" si="13">G25</f>
        <v>568130</v>
      </c>
      <c r="L25" s="603">
        <f t="shared" ref="L25" si="14">IF(K25&lt;&gt;0,+G25-K25,0)</f>
        <v>0</v>
      </c>
      <c r="M25" s="476">
        <f t="shared" ref="M25" si="15">H25</f>
        <v>568130</v>
      </c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4152358.910052889</v>
      </c>
      <c r="E26" s="484">
        <f t="shared" ref="E26:E72" si="16">IF(+$I$14&lt;F25,$I$14,D26)</f>
        <v>120459</v>
      </c>
      <c r="F26" s="485">
        <f t="shared" ref="F26:F72" si="17">+D26-E26</f>
        <v>4031899.910052889</v>
      </c>
      <c r="G26" s="486">
        <f t="shared" ref="G26:G72" si="18">(D26+F26)/2*I$12+E26</f>
        <v>561636.5697022964</v>
      </c>
      <c r="H26" s="455">
        <f t="shared" ref="H26:H72" si="19">+(D26+F26)/2*I$13+E26</f>
        <v>561636.5697022964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4031899.910052889</v>
      </c>
      <c r="E27" s="484">
        <f t="shared" si="16"/>
        <v>120459</v>
      </c>
      <c r="F27" s="485">
        <f t="shared" si="17"/>
        <v>3911440.910052889</v>
      </c>
      <c r="G27" s="486">
        <f t="shared" si="18"/>
        <v>548649.73484360066</v>
      </c>
      <c r="H27" s="455">
        <f t="shared" si="19"/>
        <v>548649.73484360066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3911440.910052889</v>
      </c>
      <c r="E28" s="484">
        <f t="shared" si="16"/>
        <v>120459</v>
      </c>
      <c r="F28" s="485">
        <f t="shared" si="17"/>
        <v>3790981.910052889</v>
      </c>
      <c r="G28" s="486">
        <f t="shared" si="18"/>
        <v>535662.89998490491</v>
      </c>
      <c r="H28" s="455">
        <f t="shared" si="19"/>
        <v>535662.89998490491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3790981.910052889</v>
      </c>
      <c r="E29" s="484">
        <f t="shared" si="16"/>
        <v>120459</v>
      </c>
      <c r="F29" s="485">
        <f t="shared" si="17"/>
        <v>3670522.910052889</v>
      </c>
      <c r="G29" s="486">
        <f t="shared" si="18"/>
        <v>522676.06512620917</v>
      </c>
      <c r="H29" s="455">
        <f t="shared" si="19"/>
        <v>522676.06512620917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3670522.910052889</v>
      </c>
      <c r="E30" s="484">
        <f t="shared" si="16"/>
        <v>120459</v>
      </c>
      <c r="F30" s="485">
        <f t="shared" si="17"/>
        <v>3550063.910052889</v>
      </c>
      <c r="G30" s="486">
        <f t="shared" si="18"/>
        <v>509689.23026751343</v>
      </c>
      <c r="H30" s="455">
        <f t="shared" si="19"/>
        <v>509689.23026751343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3550063.910052889</v>
      </c>
      <c r="E31" s="484">
        <f t="shared" si="16"/>
        <v>120459</v>
      </c>
      <c r="F31" s="485">
        <f t="shared" si="17"/>
        <v>3429604.910052889</v>
      </c>
      <c r="G31" s="486">
        <f t="shared" si="18"/>
        <v>496702.39540881768</v>
      </c>
      <c r="H31" s="455">
        <f t="shared" si="19"/>
        <v>496702.39540881768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3429604.910052889</v>
      </c>
      <c r="E32" s="484">
        <f t="shared" si="16"/>
        <v>120459</v>
      </c>
      <c r="F32" s="485">
        <f t="shared" si="17"/>
        <v>3309145.910052889</v>
      </c>
      <c r="G32" s="486">
        <f t="shared" si="18"/>
        <v>483715.56055012194</v>
      </c>
      <c r="H32" s="455">
        <f t="shared" si="19"/>
        <v>483715.56055012194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3309145.910052889</v>
      </c>
      <c r="E33" s="484">
        <f t="shared" si="16"/>
        <v>120459</v>
      </c>
      <c r="F33" s="485">
        <f t="shared" si="17"/>
        <v>3188686.910052889</v>
      </c>
      <c r="G33" s="486">
        <f t="shared" si="18"/>
        <v>470728.7256914262</v>
      </c>
      <c r="H33" s="455">
        <f t="shared" si="19"/>
        <v>470728.7256914262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3188686.910052889</v>
      </c>
      <c r="E34" s="484">
        <f t="shared" si="16"/>
        <v>120459</v>
      </c>
      <c r="F34" s="485">
        <f t="shared" si="17"/>
        <v>3068227.910052889</v>
      </c>
      <c r="G34" s="486">
        <f t="shared" si="18"/>
        <v>457741.89083273039</v>
      </c>
      <c r="H34" s="455">
        <f t="shared" si="19"/>
        <v>457741.89083273039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3068227.910052889</v>
      </c>
      <c r="E35" s="484">
        <f t="shared" si="16"/>
        <v>120459</v>
      </c>
      <c r="F35" s="485">
        <f t="shared" si="17"/>
        <v>2947768.910052889</v>
      </c>
      <c r="G35" s="486">
        <f t="shared" si="18"/>
        <v>444755.05597403465</v>
      </c>
      <c r="H35" s="455">
        <f t="shared" si="19"/>
        <v>444755.05597403465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2947768.910052889</v>
      </c>
      <c r="E36" s="484">
        <f t="shared" si="16"/>
        <v>120459</v>
      </c>
      <c r="F36" s="485">
        <f t="shared" si="17"/>
        <v>2827309.910052889</v>
      </c>
      <c r="G36" s="486">
        <f t="shared" si="18"/>
        <v>431768.22111533891</v>
      </c>
      <c r="H36" s="455">
        <f t="shared" si="19"/>
        <v>431768.22111533891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2827309.910052889</v>
      </c>
      <c r="E37" s="484">
        <f t="shared" si="16"/>
        <v>120459</v>
      </c>
      <c r="F37" s="485">
        <f t="shared" si="17"/>
        <v>2706850.910052889</v>
      </c>
      <c r="G37" s="486">
        <f t="shared" si="18"/>
        <v>418781.38625664316</v>
      </c>
      <c r="H37" s="455">
        <f t="shared" si="19"/>
        <v>418781.38625664316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2706850.910052889</v>
      </c>
      <c r="E38" s="484">
        <f t="shared" si="16"/>
        <v>120459</v>
      </c>
      <c r="F38" s="485">
        <f t="shared" si="17"/>
        <v>2586391.910052889</v>
      </c>
      <c r="G38" s="486">
        <f t="shared" si="18"/>
        <v>405794.55139794742</v>
      </c>
      <c r="H38" s="455">
        <f t="shared" si="19"/>
        <v>405794.55139794742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2586391.910052889</v>
      </c>
      <c r="E39" s="484">
        <f t="shared" si="16"/>
        <v>120459</v>
      </c>
      <c r="F39" s="485">
        <f t="shared" si="17"/>
        <v>2465932.910052889</v>
      </c>
      <c r="G39" s="486">
        <f t="shared" si="18"/>
        <v>392807.71653925168</v>
      </c>
      <c r="H39" s="455">
        <f t="shared" si="19"/>
        <v>392807.71653925168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2465932.910052889</v>
      </c>
      <c r="E40" s="484">
        <f t="shared" si="16"/>
        <v>120459</v>
      </c>
      <c r="F40" s="485">
        <f t="shared" si="17"/>
        <v>2345473.910052889</v>
      </c>
      <c r="G40" s="486">
        <f t="shared" si="18"/>
        <v>379820.88168055593</v>
      </c>
      <c r="H40" s="455">
        <f t="shared" si="19"/>
        <v>379820.88168055593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2345473.910052889</v>
      </c>
      <c r="E41" s="484">
        <f t="shared" si="16"/>
        <v>120459</v>
      </c>
      <c r="F41" s="485">
        <f t="shared" si="17"/>
        <v>2225014.910052889</v>
      </c>
      <c r="G41" s="486">
        <f t="shared" si="18"/>
        <v>366834.04682186019</v>
      </c>
      <c r="H41" s="455">
        <f t="shared" si="19"/>
        <v>366834.04682186019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2225014.910052889</v>
      </c>
      <c r="E42" s="484">
        <f t="shared" si="16"/>
        <v>120459</v>
      </c>
      <c r="F42" s="485">
        <f t="shared" si="17"/>
        <v>2104555.910052889</v>
      </c>
      <c r="G42" s="486">
        <f t="shared" si="18"/>
        <v>353847.21196316445</v>
      </c>
      <c r="H42" s="455">
        <f t="shared" si="19"/>
        <v>353847.21196316445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2104555.910052889</v>
      </c>
      <c r="E43" s="484">
        <f t="shared" si="16"/>
        <v>120459</v>
      </c>
      <c r="F43" s="485">
        <f t="shared" si="17"/>
        <v>1984096.910052889</v>
      </c>
      <c r="G43" s="486">
        <f t="shared" si="18"/>
        <v>340860.3771044687</v>
      </c>
      <c r="H43" s="455">
        <f t="shared" si="19"/>
        <v>340860.3771044687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1984096.910052889</v>
      </c>
      <c r="E44" s="484">
        <f t="shared" si="16"/>
        <v>120459</v>
      </c>
      <c r="F44" s="485">
        <f t="shared" si="17"/>
        <v>1863637.910052889</v>
      </c>
      <c r="G44" s="486">
        <f t="shared" si="18"/>
        <v>327873.54224577296</v>
      </c>
      <c r="H44" s="455">
        <f t="shared" si="19"/>
        <v>327873.54224577296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1863637.910052889</v>
      </c>
      <c r="E45" s="484">
        <f t="shared" si="16"/>
        <v>120459</v>
      </c>
      <c r="F45" s="485">
        <f t="shared" si="17"/>
        <v>1743178.910052889</v>
      </c>
      <c r="G45" s="486">
        <f t="shared" si="18"/>
        <v>314886.70738707721</v>
      </c>
      <c r="H45" s="455">
        <f t="shared" si="19"/>
        <v>314886.70738707721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1743178.910052889</v>
      </c>
      <c r="E46" s="484">
        <f t="shared" si="16"/>
        <v>120459</v>
      </c>
      <c r="F46" s="485">
        <f t="shared" si="17"/>
        <v>1622719.910052889</v>
      </c>
      <c r="G46" s="486">
        <f t="shared" si="18"/>
        <v>301899.87252838147</v>
      </c>
      <c r="H46" s="455">
        <f t="shared" si="19"/>
        <v>301899.87252838147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1622719.910052889</v>
      </c>
      <c r="E47" s="484">
        <f t="shared" si="16"/>
        <v>120459</v>
      </c>
      <c r="F47" s="485">
        <f t="shared" si="17"/>
        <v>1502260.910052889</v>
      </c>
      <c r="G47" s="486">
        <f t="shared" si="18"/>
        <v>288913.03766968567</v>
      </c>
      <c r="H47" s="455">
        <f t="shared" si="19"/>
        <v>288913.03766968567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1502260.910052889</v>
      </c>
      <c r="E48" s="484">
        <f t="shared" si="16"/>
        <v>120459</v>
      </c>
      <c r="F48" s="485">
        <f t="shared" si="17"/>
        <v>1381801.910052889</v>
      </c>
      <c r="G48" s="486">
        <f t="shared" si="18"/>
        <v>275926.20281098993</v>
      </c>
      <c r="H48" s="455">
        <f t="shared" si="19"/>
        <v>275926.20281098993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1381801.910052889</v>
      </c>
      <c r="E49" s="484">
        <f t="shared" si="16"/>
        <v>120459</v>
      </c>
      <c r="F49" s="485">
        <f t="shared" si="17"/>
        <v>1261342.910052889</v>
      </c>
      <c r="G49" s="486">
        <f t="shared" si="18"/>
        <v>262939.36795229418</v>
      </c>
      <c r="H49" s="455">
        <f t="shared" si="19"/>
        <v>262939.36795229418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1261342.910052889</v>
      </c>
      <c r="E50" s="484">
        <f t="shared" si="16"/>
        <v>120459</v>
      </c>
      <c r="F50" s="485">
        <f t="shared" si="17"/>
        <v>1140883.910052889</v>
      </c>
      <c r="G50" s="486">
        <f t="shared" si="18"/>
        <v>249952.53309359847</v>
      </c>
      <c r="H50" s="455">
        <f t="shared" si="19"/>
        <v>249952.53309359847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1140883.910052889</v>
      </c>
      <c r="E51" s="484">
        <f t="shared" si="16"/>
        <v>120459</v>
      </c>
      <c r="F51" s="485">
        <f t="shared" si="17"/>
        <v>1020424.910052889</v>
      </c>
      <c r="G51" s="486">
        <f t="shared" si="18"/>
        <v>236965.69823490272</v>
      </c>
      <c r="H51" s="455">
        <f t="shared" si="19"/>
        <v>236965.69823490272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1020424.910052889</v>
      </c>
      <c r="E52" s="484">
        <f t="shared" si="16"/>
        <v>120459</v>
      </c>
      <c r="F52" s="485">
        <f t="shared" si="17"/>
        <v>899965.91005288903</v>
      </c>
      <c r="G52" s="486">
        <f t="shared" si="18"/>
        <v>223978.86337620698</v>
      </c>
      <c r="H52" s="455">
        <f t="shared" si="19"/>
        <v>223978.86337620698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899965.91005288903</v>
      </c>
      <c r="E53" s="484">
        <f t="shared" si="16"/>
        <v>120459</v>
      </c>
      <c r="F53" s="485">
        <f t="shared" si="17"/>
        <v>779506.91005288903</v>
      </c>
      <c r="G53" s="486">
        <f t="shared" si="18"/>
        <v>210992.02851751121</v>
      </c>
      <c r="H53" s="455">
        <f t="shared" si="19"/>
        <v>210992.02851751121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779506.91005288903</v>
      </c>
      <c r="E54" s="484">
        <f t="shared" si="16"/>
        <v>120459</v>
      </c>
      <c r="F54" s="485">
        <f t="shared" si="17"/>
        <v>659047.91005288903</v>
      </c>
      <c r="G54" s="486">
        <f t="shared" si="18"/>
        <v>198005.19365881546</v>
      </c>
      <c r="H54" s="455">
        <f t="shared" si="19"/>
        <v>198005.19365881546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659047.91005288903</v>
      </c>
      <c r="E55" s="484">
        <f t="shared" si="16"/>
        <v>120459</v>
      </c>
      <c r="F55" s="485">
        <f t="shared" si="17"/>
        <v>538588.91005288903</v>
      </c>
      <c r="G55" s="486">
        <f t="shared" si="18"/>
        <v>185018.35880011972</v>
      </c>
      <c r="H55" s="455">
        <f t="shared" si="19"/>
        <v>185018.35880011972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538588.91005288903</v>
      </c>
      <c r="E56" s="484">
        <f t="shared" si="16"/>
        <v>120459</v>
      </c>
      <c r="F56" s="485">
        <f t="shared" si="17"/>
        <v>418129.91005288903</v>
      </c>
      <c r="G56" s="486">
        <f t="shared" si="18"/>
        <v>172031.52394142398</v>
      </c>
      <c r="H56" s="455">
        <f t="shared" si="19"/>
        <v>172031.52394142398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418129.91005288903</v>
      </c>
      <c r="E57" s="484">
        <f t="shared" si="16"/>
        <v>120459</v>
      </c>
      <c r="F57" s="485">
        <f t="shared" si="17"/>
        <v>297670.91005288903</v>
      </c>
      <c r="G57" s="486">
        <f t="shared" si="18"/>
        <v>159044.68908272823</v>
      </c>
      <c r="H57" s="455">
        <f t="shared" si="19"/>
        <v>159044.68908272823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297670.91005288903</v>
      </c>
      <c r="E58" s="484">
        <f t="shared" si="16"/>
        <v>120459</v>
      </c>
      <c r="F58" s="485">
        <f t="shared" si="17"/>
        <v>177211.91005288903</v>
      </c>
      <c r="G58" s="486">
        <f t="shared" si="18"/>
        <v>146057.85422403249</v>
      </c>
      <c r="H58" s="455">
        <f t="shared" si="19"/>
        <v>146057.85422403249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177211.91005288903</v>
      </c>
      <c r="E59" s="484">
        <f t="shared" si="16"/>
        <v>120459</v>
      </c>
      <c r="F59" s="485">
        <f t="shared" si="17"/>
        <v>56752.910052889027</v>
      </c>
      <c r="G59" s="486">
        <f t="shared" si="18"/>
        <v>133071.01936533675</v>
      </c>
      <c r="H59" s="455">
        <f t="shared" si="19"/>
        <v>133071.01936533675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56752.910052889027</v>
      </c>
      <c r="E60" s="484">
        <f t="shared" si="16"/>
        <v>56752.910052889027</v>
      </c>
      <c r="F60" s="485">
        <f t="shared" si="17"/>
        <v>0</v>
      </c>
      <c r="G60" s="486">
        <f t="shared" si="18"/>
        <v>59812.211020883464</v>
      </c>
      <c r="H60" s="455">
        <f t="shared" si="19"/>
        <v>59812.211020883464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6"/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5">
        <f t="shared" si="4"/>
        <v>0</v>
      </c>
      <c r="J72" s="490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5059277.9999999991</v>
      </c>
      <c r="F73" s="348"/>
      <c r="G73" s="348">
        <f>SUM(G17:G72)</f>
        <v>17929911.784516629</v>
      </c>
      <c r="H73" s="348">
        <f>SUM(H17:H72)</f>
        <v>17929911.784516629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16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568130</v>
      </c>
      <c r="N87" s="508">
        <f>IF(J92&lt;D11,0,VLOOKUP(J92,C17:O72,11))</f>
        <v>568130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591920.45938328374</v>
      </c>
      <c r="N88" s="512">
        <f>IF(J92&lt;D11,0,VLOOKUP(J92,C99:P154,7))</f>
        <v>591920.45938328374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Cornville Station Conversion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23790.459383283742</v>
      </c>
      <c r="N89" s="517">
        <f>+N88-N87</f>
        <v>23790.459383283742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TP2011093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5059278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129725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>
        <v>0</v>
      </c>
      <c r="E99" s="585">
        <v>0</v>
      </c>
      <c r="F99" s="586">
        <v>4992922.66</v>
      </c>
      <c r="G99" s="605">
        <v>2496461.33</v>
      </c>
      <c r="H99" s="606">
        <v>350992.25806989282</v>
      </c>
      <c r="I99" s="607">
        <v>350992.25806989282</v>
      </c>
      <c r="J99" s="478">
        <v>0</v>
      </c>
      <c r="K99" s="478"/>
      <c r="L99" s="476">
        <f t="shared" ref="L99:L104" si="21">H99</f>
        <v>350992.25806989282</v>
      </c>
      <c r="M99" s="349">
        <f t="shared" ref="M99:M104" si="22">IF(L99&lt;&gt;0,+H99-L99,0)</f>
        <v>0</v>
      </c>
      <c r="N99" s="476">
        <f t="shared" ref="N99:N104" si="23">I99</f>
        <v>350992.25806989282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84">
        <v>5071338</v>
      </c>
      <c r="E100" s="585">
        <v>97526</v>
      </c>
      <c r="F100" s="586">
        <v>4973812</v>
      </c>
      <c r="G100" s="586">
        <v>5022575</v>
      </c>
      <c r="H100" s="606">
        <v>782815.97525692882</v>
      </c>
      <c r="I100" s="607">
        <v>782815.97525692882</v>
      </c>
      <c r="J100" s="478">
        <f>+I100-H100</f>
        <v>0</v>
      </c>
      <c r="K100" s="478"/>
      <c r="L100" s="476">
        <f t="shared" si="21"/>
        <v>782815.97525692882</v>
      </c>
      <c r="M100" s="349">
        <f t="shared" si="22"/>
        <v>0</v>
      </c>
      <c r="N100" s="476">
        <f t="shared" si="23"/>
        <v>782815.97525692882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4">IF(D101=F100,"","IU")</f>
        <v>IU</v>
      </c>
      <c r="C101" s="472">
        <f>IF(D93="","-",+C100+1)</f>
        <v>2016</v>
      </c>
      <c r="D101" s="584">
        <v>4961752</v>
      </c>
      <c r="E101" s="585">
        <v>109984</v>
      </c>
      <c r="F101" s="586">
        <v>4851768</v>
      </c>
      <c r="G101" s="586">
        <v>4906760</v>
      </c>
      <c r="H101" s="606">
        <v>742542.63994670648</v>
      </c>
      <c r="I101" s="607">
        <v>742542.63994670648</v>
      </c>
      <c r="J101" s="478">
        <f t="shared" ref="J101:J154" si="25">+I101-H101</f>
        <v>0</v>
      </c>
      <c r="K101" s="478"/>
      <c r="L101" s="476">
        <f t="shared" si="21"/>
        <v>742542.63994670648</v>
      </c>
      <c r="M101" s="349">
        <f t="shared" si="22"/>
        <v>0</v>
      </c>
      <c r="N101" s="476">
        <f t="shared" si="23"/>
        <v>742542.63994670648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4"/>
        <v/>
      </c>
      <c r="C102" s="472">
        <f>IF(D93="","-",+C101+1)</f>
        <v>2017</v>
      </c>
      <c r="D102" s="584">
        <v>4851768</v>
      </c>
      <c r="E102" s="585">
        <v>109984</v>
      </c>
      <c r="F102" s="586">
        <v>4741784</v>
      </c>
      <c r="G102" s="586">
        <v>4796776</v>
      </c>
      <c r="H102" s="606">
        <v>718467.13067498105</v>
      </c>
      <c r="I102" s="607">
        <v>718467.13067498105</v>
      </c>
      <c r="J102" s="478">
        <f t="shared" si="25"/>
        <v>0</v>
      </c>
      <c r="K102" s="478"/>
      <c r="L102" s="476">
        <f t="shared" si="21"/>
        <v>718467.13067498105</v>
      </c>
      <c r="M102" s="349">
        <f t="shared" si="22"/>
        <v>0</v>
      </c>
      <c r="N102" s="476">
        <f t="shared" si="23"/>
        <v>718467.13067498105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4"/>
        <v/>
      </c>
      <c r="C103" s="472">
        <f>IF(D93="","-",+C102+1)</f>
        <v>2018</v>
      </c>
      <c r="D103" s="584">
        <v>4741784</v>
      </c>
      <c r="E103" s="585">
        <v>117658</v>
      </c>
      <c r="F103" s="586">
        <v>4624126</v>
      </c>
      <c r="G103" s="586">
        <v>4682955</v>
      </c>
      <c r="H103" s="606">
        <v>598764.03634994966</v>
      </c>
      <c r="I103" s="607">
        <v>598764.03634994966</v>
      </c>
      <c r="J103" s="478">
        <f t="shared" si="25"/>
        <v>0</v>
      </c>
      <c r="K103" s="478"/>
      <c r="L103" s="476">
        <f t="shared" si="21"/>
        <v>598764.03634994966</v>
      </c>
      <c r="M103" s="349">
        <f t="shared" si="22"/>
        <v>0</v>
      </c>
      <c r="N103" s="476">
        <f t="shared" si="23"/>
        <v>598764.03634994966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4"/>
        <v/>
      </c>
      <c r="C104" s="472">
        <f>IF(D93="","-",+C103+1)</f>
        <v>2019</v>
      </c>
      <c r="D104" s="584">
        <v>4624126</v>
      </c>
      <c r="E104" s="585">
        <v>123397</v>
      </c>
      <c r="F104" s="586">
        <v>4500729</v>
      </c>
      <c r="G104" s="586">
        <v>4562427.5</v>
      </c>
      <c r="H104" s="606">
        <v>593847.268225985</v>
      </c>
      <c r="I104" s="607">
        <v>593847.268225985</v>
      </c>
      <c r="J104" s="478">
        <f t="shared" si="25"/>
        <v>0</v>
      </c>
      <c r="K104" s="478"/>
      <c r="L104" s="476">
        <f t="shared" si="21"/>
        <v>593847.268225985</v>
      </c>
      <c r="M104" s="349">
        <f t="shared" si="22"/>
        <v>0</v>
      </c>
      <c r="N104" s="476">
        <f t="shared" si="23"/>
        <v>593847.268225985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>
      <c r="B105" s="160" t="str">
        <f t="shared" si="24"/>
        <v/>
      </c>
      <c r="C105" s="472">
        <f>IF(D93="","-",+C104+1)</f>
        <v>2020</v>
      </c>
      <c r="D105" s="584">
        <v>4500729</v>
      </c>
      <c r="E105" s="585">
        <v>117658</v>
      </c>
      <c r="F105" s="586">
        <v>4383071</v>
      </c>
      <c r="G105" s="586">
        <v>4441900</v>
      </c>
      <c r="H105" s="606">
        <v>629796.85800289037</v>
      </c>
      <c r="I105" s="607">
        <v>629796.85800289037</v>
      </c>
      <c r="J105" s="478">
        <f t="shared" si="25"/>
        <v>0</v>
      </c>
      <c r="K105" s="478"/>
      <c r="L105" s="476">
        <f t="shared" ref="L105" si="28">H105</f>
        <v>629796.85800289037</v>
      </c>
      <c r="M105" s="349">
        <f t="shared" ref="M105" si="29">IF(L105&lt;&gt;0,+H105-L105,0)</f>
        <v>0</v>
      </c>
      <c r="N105" s="476">
        <f t="shared" ref="N105" si="30">I105</f>
        <v>629796.85800289037</v>
      </c>
      <c r="O105" s="478">
        <f t="shared" si="26"/>
        <v>0</v>
      </c>
      <c r="P105" s="478">
        <f t="shared" si="27"/>
        <v>0</v>
      </c>
    </row>
    <row r="106" spans="1:16">
      <c r="B106" s="160" t="str">
        <f t="shared" si="24"/>
        <v/>
      </c>
      <c r="C106" s="472">
        <f>IF(D93="","-",+C105+1)</f>
        <v>2021</v>
      </c>
      <c r="D106" s="584">
        <v>4383071</v>
      </c>
      <c r="E106" s="585">
        <v>123397</v>
      </c>
      <c r="F106" s="586">
        <v>4259674</v>
      </c>
      <c r="G106" s="586">
        <v>4321372.5</v>
      </c>
      <c r="H106" s="606">
        <v>615138.04650435934</v>
      </c>
      <c r="I106" s="607">
        <v>615138.04650435934</v>
      </c>
      <c r="J106" s="478">
        <f t="shared" si="25"/>
        <v>0</v>
      </c>
      <c r="K106" s="478"/>
      <c r="L106" s="476">
        <f t="shared" ref="L106" si="31">H106</f>
        <v>615138.04650435934</v>
      </c>
      <c r="M106" s="349">
        <f t="shared" ref="M106" si="32">IF(L106&lt;&gt;0,+H106-L106,0)</f>
        <v>0</v>
      </c>
      <c r="N106" s="476">
        <f t="shared" ref="N106" si="33">I106</f>
        <v>615138.04650435934</v>
      </c>
      <c r="O106" s="478">
        <f t="shared" si="26"/>
        <v>0</v>
      </c>
      <c r="P106" s="478">
        <f t="shared" si="27"/>
        <v>0</v>
      </c>
    </row>
    <row r="107" spans="1:16">
      <c r="B107" s="160" t="str">
        <f t="shared" si="24"/>
        <v/>
      </c>
      <c r="C107" s="472">
        <f>IF(D93="","-",+C106+1)</f>
        <v>2022</v>
      </c>
      <c r="D107" s="347">
        <f>IF(F106+SUM(E$99:E106)=D$92,F106,D$92-SUM(E$99:E106))</f>
        <v>4259674</v>
      </c>
      <c r="E107" s="484">
        <f t="shared" ref="E107:E154" si="34">IF(+J$96&lt;F106,J$96,D107)</f>
        <v>129725</v>
      </c>
      <c r="F107" s="485">
        <f t="shared" ref="F107:F154" si="35">+D107-E107</f>
        <v>4129949</v>
      </c>
      <c r="G107" s="485">
        <f t="shared" ref="G107:G154" si="36">+(F107+D107)/2</f>
        <v>4194811.5</v>
      </c>
      <c r="H107" s="486">
        <f t="shared" ref="H107:H153" si="37">(D107+F107)/2*J$94+E107</f>
        <v>591920.45938328374</v>
      </c>
      <c r="I107" s="542">
        <f t="shared" ref="I107:I153" si="38">+J$95*G107+E107</f>
        <v>591920.45938328374</v>
      </c>
      <c r="J107" s="478">
        <f t="shared" si="25"/>
        <v>0</v>
      </c>
      <c r="K107" s="478"/>
      <c r="L107" s="487"/>
      <c r="M107" s="478">
        <f t="shared" ref="M107:M130" si="39">IF(L107&lt;&gt;0,+H107-L107,0)</f>
        <v>0</v>
      </c>
      <c r="N107" s="487"/>
      <c r="O107" s="478">
        <f t="shared" si="26"/>
        <v>0</v>
      </c>
      <c r="P107" s="478">
        <f t="shared" si="27"/>
        <v>0</v>
      </c>
    </row>
    <row r="108" spans="1:16">
      <c r="B108" s="160" t="str">
        <f t="shared" si="24"/>
        <v/>
      </c>
      <c r="C108" s="472">
        <f>IF(D93="","-",+C107+1)</f>
        <v>2023</v>
      </c>
      <c r="D108" s="347">
        <f>IF(F107+SUM(E$99:E107)=D$92,F107,D$92-SUM(E$99:E107))</f>
        <v>4129949</v>
      </c>
      <c r="E108" s="484">
        <f t="shared" si="34"/>
        <v>129725</v>
      </c>
      <c r="F108" s="485">
        <f t="shared" si="35"/>
        <v>4000224</v>
      </c>
      <c r="G108" s="485">
        <f t="shared" si="36"/>
        <v>4065086.5</v>
      </c>
      <c r="H108" s="486">
        <f t="shared" si="37"/>
        <v>577627.01473899011</v>
      </c>
      <c r="I108" s="542">
        <f t="shared" si="38"/>
        <v>577627.01473899011</v>
      </c>
      <c r="J108" s="478">
        <f t="shared" si="25"/>
        <v>0</v>
      </c>
      <c r="K108" s="478"/>
      <c r="L108" s="487"/>
      <c r="M108" s="478">
        <f t="shared" si="39"/>
        <v>0</v>
      </c>
      <c r="N108" s="487"/>
      <c r="O108" s="478">
        <f t="shared" si="26"/>
        <v>0</v>
      </c>
      <c r="P108" s="478">
        <f t="shared" si="27"/>
        <v>0</v>
      </c>
    </row>
    <row r="109" spans="1:16">
      <c r="B109" s="160" t="str">
        <f t="shared" si="24"/>
        <v/>
      </c>
      <c r="C109" s="472">
        <f>IF(D93="","-",+C108+1)</f>
        <v>2024</v>
      </c>
      <c r="D109" s="347">
        <f>IF(F108+SUM(E$99:E108)=D$92,F108,D$92-SUM(E$99:E108))</f>
        <v>4000224</v>
      </c>
      <c r="E109" s="484">
        <f t="shared" si="34"/>
        <v>129725</v>
      </c>
      <c r="F109" s="485">
        <f t="shared" si="35"/>
        <v>3870499</v>
      </c>
      <c r="G109" s="485">
        <f t="shared" si="36"/>
        <v>3935361.5</v>
      </c>
      <c r="H109" s="486">
        <f t="shared" si="37"/>
        <v>563333.57009469648</v>
      </c>
      <c r="I109" s="542">
        <f t="shared" si="38"/>
        <v>563333.57009469648</v>
      </c>
      <c r="J109" s="478">
        <f t="shared" si="25"/>
        <v>0</v>
      </c>
      <c r="K109" s="478"/>
      <c r="L109" s="487"/>
      <c r="M109" s="478">
        <f t="shared" si="39"/>
        <v>0</v>
      </c>
      <c r="N109" s="487"/>
      <c r="O109" s="478">
        <f t="shared" si="26"/>
        <v>0</v>
      </c>
      <c r="P109" s="478">
        <f t="shared" si="27"/>
        <v>0</v>
      </c>
    </row>
    <row r="110" spans="1:16">
      <c r="B110" s="160" t="str">
        <f t="shared" si="24"/>
        <v/>
      </c>
      <c r="C110" s="472">
        <f>IF(D93="","-",+C109+1)</f>
        <v>2025</v>
      </c>
      <c r="D110" s="347">
        <f>IF(F109+SUM(E$99:E109)=D$92,F109,D$92-SUM(E$99:E109))</f>
        <v>3870499</v>
      </c>
      <c r="E110" s="484">
        <f t="shared" si="34"/>
        <v>129725</v>
      </c>
      <c r="F110" s="485">
        <f t="shared" si="35"/>
        <v>3740774</v>
      </c>
      <c r="G110" s="485">
        <f t="shared" si="36"/>
        <v>3805636.5</v>
      </c>
      <c r="H110" s="486">
        <f t="shared" si="37"/>
        <v>549040.12545040273</v>
      </c>
      <c r="I110" s="542">
        <f t="shared" si="38"/>
        <v>549040.12545040273</v>
      </c>
      <c r="J110" s="478">
        <f t="shared" si="25"/>
        <v>0</v>
      </c>
      <c r="K110" s="478"/>
      <c r="L110" s="487"/>
      <c r="M110" s="478">
        <f t="shared" si="39"/>
        <v>0</v>
      </c>
      <c r="N110" s="487"/>
      <c r="O110" s="478">
        <f t="shared" si="26"/>
        <v>0</v>
      </c>
      <c r="P110" s="478">
        <f t="shared" si="27"/>
        <v>0</v>
      </c>
    </row>
    <row r="111" spans="1:16">
      <c r="B111" s="160" t="str">
        <f t="shared" si="24"/>
        <v/>
      </c>
      <c r="C111" s="472">
        <f>IF(D93="","-",+C110+1)</f>
        <v>2026</v>
      </c>
      <c r="D111" s="347">
        <f>IF(F110+SUM(E$99:E110)=D$92,F110,D$92-SUM(E$99:E110))</f>
        <v>3740774</v>
      </c>
      <c r="E111" s="484">
        <f t="shared" si="34"/>
        <v>129725</v>
      </c>
      <c r="F111" s="485">
        <f t="shared" si="35"/>
        <v>3611049</v>
      </c>
      <c r="G111" s="485">
        <f t="shared" si="36"/>
        <v>3675911.5</v>
      </c>
      <c r="H111" s="486">
        <f t="shared" si="37"/>
        <v>534746.6808061091</v>
      </c>
      <c r="I111" s="542">
        <f t="shared" si="38"/>
        <v>534746.6808061091</v>
      </c>
      <c r="J111" s="478">
        <f t="shared" si="25"/>
        <v>0</v>
      </c>
      <c r="K111" s="478"/>
      <c r="L111" s="487"/>
      <c r="M111" s="478">
        <f t="shared" si="39"/>
        <v>0</v>
      </c>
      <c r="N111" s="487"/>
      <c r="O111" s="478">
        <f t="shared" si="26"/>
        <v>0</v>
      </c>
      <c r="P111" s="478">
        <f t="shared" si="27"/>
        <v>0</v>
      </c>
    </row>
    <row r="112" spans="1:16">
      <c r="B112" s="160" t="str">
        <f t="shared" si="24"/>
        <v/>
      </c>
      <c r="C112" s="472">
        <f>IF(D93="","-",+C111+1)</f>
        <v>2027</v>
      </c>
      <c r="D112" s="347">
        <f>IF(F111+SUM(E$99:E111)=D$92,F111,D$92-SUM(E$99:E111))</f>
        <v>3611049</v>
      </c>
      <c r="E112" s="484">
        <f t="shared" si="34"/>
        <v>129725</v>
      </c>
      <c r="F112" s="485">
        <f t="shared" si="35"/>
        <v>3481324</v>
      </c>
      <c r="G112" s="485">
        <f t="shared" si="36"/>
        <v>3546186.5</v>
      </c>
      <c r="H112" s="486">
        <f t="shared" si="37"/>
        <v>520453.23616181541</v>
      </c>
      <c r="I112" s="542">
        <f t="shared" si="38"/>
        <v>520453.23616181541</v>
      </c>
      <c r="J112" s="478">
        <f t="shared" si="25"/>
        <v>0</v>
      </c>
      <c r="K112" s="478"/>
      <c r="L112" s="487"/>
      <c r="M112" s="478">
        <f t="shared" si="39"/>
        <v>0</v>
      </c>
      <c r="N112" s="487"/>
      <c r="O112" s="478">
        <f t="shared" si="26"/>
        <v>0</v>
      </c>
      <c r="P112" s="478">
        <f t="shared" si="27"/>
        <v>0</v>
      </c>
    </row>
    <row r="113" spans="2:16">
      <c r="B113" s="160" t="str">
        <f t="shared" si="24"/>
        <v/>
      </c>
      <c r="C113" s="472">
        <f>IF(D93="","-",+C112+1)</f>
        <v>2028</v>
      </c>
      <c r="D113" s="347">
        <f>IF(F112+SUM(E$99:E112)=D$92,F112,D$92-SUM(E$99:E112))</f>
        <v>3481324</v>
      </c>
      <c r="E113" s="484">
        <f t="shared" si="34"/>
        <v>129725</v>
      </c>
      <c r="F113" s="485">
        <f t="shared" si="35"/>
        <v>3351599</v>
      </c>
      <c r="G113" s="485">
        <f t="shared" si="36"/>
        <v>3416461.5</v>
      </c>
      <c r="H113" s="486">
        <f t="shared" si="37"/>
        <v>506159.79151752178</v>
      </c>
      <c r="I113" s="542">
        <f t="shared" si="38"/>
        <v>506159.79151752178</v>
      </c>
      <c r="J113" s="478">
        <f t="shared" si="25"/>
        <v>0</v>
      </c>
      <c r="K113" s="478"/>
      <c r="L113" s="487"/>
      <c r="M113" s="478">
        <f t="shared" si="39"/>
        <v>0</v>
      </c>
      <c r="N113" s="487"/>
      <c r="O113" s="478">
        <f t="shared" si="26"/>
        <v>0</v>
      </c>
      <c r="P113" s="478">
        <f t="shared" si="27"/>
        <v>0</v>
      </c>
    </row>
    <row r="114" spans="2:16">
      <c r="B114" s="160" t="str">
        <f t="shared" si="24"/>
        <v/>
      </c>
      <c r="C114" s="472">
        <f>IF(D93="","-",+C113+1)</f>
        <v>2029</v>
      </c>
      <c r="D114" s="347">
        <f>IF(F113+SUM(E$99:E113)=D$92,F113,D$92-SUM(E$99:E113))</f>
        <v>3351599</v>
      </c>
      <c r="E114" s="484">
        <f t="shared" si="34"/>
        <v>129725</v>
      </c>
      <c r="F114" s="485">
        <f t="shared" si="35"/>
        <v>3221874</v>
      </c>
      <c r="G114" s="485">
        <f t="shared" si="36"/>
        <v>3286736.5</v>
      </c>
      <c r="H114" s="486">
        <f t="shared" si="37"/>
        <v>491866.34687322809</v>
      </c>
      <c r="I114" s="542">
        <f t="shared" si="38"/>
        <v>491866.34687322809</v>
      </c>
      <c r="J114" s="478">
        <f t="shared" si="25"/>
        <v>0</v>
      </c>
      <c r="K114" s="478"/>
      <c r="L114" s="487"/>
      <c r="M114" s="478">
        <f t="shared" si="39"/>
        <v>0</v>
      </c>
      <c r="N114" s="487"/>
      <c r="O114" s="478">
        <f t="shared" si="26"/>
        <v>0</v>
      </c>
      <c r="P114" s="478">
        <f t="shared" si="27"/>
        <v>0</v>
      </c>
    </row>
    <row r="115" spans="2:16">
      <c r="B115" s="160" t="str">
        <f t="shared" si="24"/>
        <v/>
      </c>
      <c r="C115" s="472">
        <f>IF(D93="","-",+C114+1)</f>
        <v>2030</v>
      </c>
      <c r="D115" s="347">
        <f>IF(F114+SUM(E$99:E114)=D$92,F114,D$92-SUM(E$99:E114))</f>
        <v>3221874</v>
      </c>
      <c r="E115" s="484">
        <f t="shared" si="34"/>
        <v>129725</v>
      </c>
      <c r="F115" s="485">
        <f t="shared" si="35"/>
        <v>3092149</v>
      </c>
      <c r="G115" s="485">
        <f t="shared" si="36"/>
        <v>3157011.5</v>
      </c>
      <c r="H115" s="486">
        <f t="shared" si="37"/>
        <v>477572.9022289344</v>
      </c>
      <c r="I115" s="542">
        <f t="shared" si="38"/>
        <v>477572.9022289344</v>
      </c>
      <c r="J115" s="478">
        <f t="shared" si="25"/>
        <v>0</v>
      </c>
      <c r="K115" s="478"/>
      <c r="L115" s="487"/>
      <c r="M115" s="478">
        <f t="shared" si="39"/>
        <v>0</v>
      </c>
      <c r="N115" s="487"/>
      <c r="O115" s="478">
        <f t="shared" si="26"/>
        <v>0</v>
      </c>
      <c r="P115" s="478">
        <f t="shared" si="27"/>
        <v>0</v>
      </c>
    </row>
    <row r="116" spans="2:16">
      <c r="B116" s="160" t="str">
        <f t="shared" si="24"/>
        <v/>
      </c>
      <c r="C116" s="472">
        <f>IF(D93="","-",+C115+1)</f>
        <v>2031</v>
      </c>
      <c r="D116" s="347">
        <f>IF(F115+SUM(E$99:E115)=D$92,F115,D$92-SUM(E$99:E115))</f>
        <v>3092149</v>
      </c>
      <c r="E116" s="484">
        <f t="shared" si="34"/>
        <v>129725</v>
      </c>
      <c r="F116" s="485">
        <f t="shared" si="35"/>
        <v>2962424</v>
      </c>
      <c r="G116" s="485">
        <f t="shared" si="36"/>
        <v>3027286.5</v>
      </c>
      <c r="H116" s="486">
        <f t="shared" si="37"/>
        <v>463279.45758464077</v>
      </c>
      <c r="I116" s="542">
        <f t="shared" si="38"/>
        <v>463279.45758464077</v>
      </c>
      <c r="J116" s="478">
        <f t="shared" si="25"/>
        <v>0</v>
      </c>
      <c r="K116" s="478"/>
      <c r="L116" s="487"/>
      <c r="M116" s="478">
        <f t="shared" si="39"/>
        <v>0</v>
      </c>
      <c r="N116" s="487"/>
      <c r="O116" s="478">
        <f t="shared" si="26"/>
        <v>0</v>
      </c>
      <c r="P116" s="478">
        <f t="shared" si="27"/>
        <v>0</v>
      </c>
    </row>
    <row r="117" spans="2:16">
      <c r="B117" s="160" t="str">
        <f t="shared" si="24"/>
        <v/>
      </c>
      <c r="C117" s="472">
        <f>IF(D93="","-",+C116+1)</f>
        <v>2032</v>
      </c>
      <c r="D117" s="347">
        <f>IF(F116+SUM(E$99:E116)=D$92,F116,D$92-SUM(E$99:E116))</f>
        <v>2962424</v>
      </c>
      <c r="E117" s="484">
        <f t="shared" si="34"/>
        <v>129725</v>
      </c>
      <c r="F117" s="485">
        <f t="shared" si="35"/>
        <v>2832699</v>
      </c>
      <c r="G117" s="485">
        <f t="shared" si="36"/>
        <v>2897561.5</v>
      </c>
      <c r="H117" s="486">
        <f t="shared" si="37"/>
        <v>448986.01294034708</v>
      </c>
      <c r="I117" s="542">
        <f t="shared" si="38"/>
        <v>448986.01294034708</v>
      </c>
      <c r="J117" s="478">
        <f t="shared" si="25"/>
        <v>0</v>
      </c>
      <c r="K117" s="478"/>
      <c r="L117" s="487"/>
      <c r="M117" s="478">
        <f t="shared" si="39"/>
        <v>0</v>
      </c>
      <c r="N117" s="487"/>
      <c r="O117" s="478">
        <f t="shared" si="26"/>
        <v>0</v>
      </c>
      <c r="P117" s="478">
        <f t="shared" si="27"/>
        <v>0</v>
      </c>
    </row>
    <row r="118" spans="2:16">
      <c r="B118" s="160" t="str">
        <f t="shared" si="24"/>
        <v/>
      </c>
      <c r="C118" s="472">
        <f>IF(D93="","-",+C117+1)</f>
        <v>2033</v>
      </c>
      <c r="D118" s="347">
        <f>IF(F117+SUM(E$99:E117)=D$92,F117,D$92-SUM(E$99:E117))</f>
        <v>2832699</v>
      </c>
      <c r="E118" s="484">
        <f t="shared" si="34"/>
        <v>129725</v>
      </c>
      <c r="F118" s="485">
        <f t="shared" si="35"/>
        <v>2702974</v>
      </c>
      <c r="G118" s="485">
        <f t="shared" si="36"/>
        <v>2767836.5</v>
      </c>
      <c r="H118" s="486">
        <f t="shared" si="37"/>
        <v>434692.56829605345</v>
      </c>
      <c r="I118" s="542">
        <f t="shared" si="38"/>
        <v>434692.56829605345</v>
      </c>
      <c r="J118" s="478">
        <f t="shared" si="25"/>
        <v>0</v>
      </c>
      <c r="K118" s="478"/>
      <c r="L118" s="487"/>
      <c r="M118" s="478">
        <f t="shared" si="39"/>
        <v>0</v>
      </c>
      <c r="N118" s="487"/>
      <c r="O118" s="478">
        <f t="shared" si="26"/>
        <v>0</v>
      </c>
      <c r="P118" s="478">
        <f t="shared" si="27"/>
        <v>0</v>
      </c>
    </row>
    <row r="119" spans="2:16">
      <c r="B119" s="160" t="str">
        <f t="shared" si="24"/>
        <v/>
      </c>
      <c r="C119" s="472">
        <f>IF(D93="","-",+C118+1)</f>
        <v>2034</v>
      </c>
      <c r="D119" s="347">
        <f>IF(F118+SUM(E$99:E118)=D$92,F118,D$92-SUM(E$99:E118))</f>
        <v>2702974</v>
      </c>
      <c r="E119" s="484">
        <f t="shared" si="34"/>
        <v>129725</v>
      </c>
      <c r="F119" s="485">
        <f t="shared" si="35"/>
        <v>2573249</v>
      </c>
      <c r="G119" s="485">
        <f t="shared" si="36"/>
        <v>2638111.5</v>
      </c>
      <c r="H119" s="486">
        <f t="shared" si="37"/>
        <v>420399.12365175976</v>
      </c>
      <c r="I119" s="542">
        <f t="shared" si="38"/>
        <v>420399.12365175976</v>
      </c>
      <c r="J119" s="478">
        <f t="shared" si="25"/>
        <v>0</v>
      </c>
      <c r="K119" s="478"/>
      <c r="L119" s="487"/>
      <c r="M119" s="478">
        <f t="shared" si="39"/>
        <v>0</v>
      </c>
      <c r="N119" s="487"/>
      <c r="O119" s="478">
        <f t="shared" si="26"/>
        <v>0</v>
      </c>
      <c r="P119" s="478">
        <f t="shared" si="27"/>
        <v>0</v>
      </c>
    </row>
    <row r="120" spans="2:16">
      <c r="B120" s="160" t="str">
        <f t="shared" si="24"/>
        <v/>
      </c>
      <c r="C120" s="472">
        <f>IF(D93="","-",+C119+1)</f>
        <v>2035</v>
      </c>
      <c r="D120" s="347">
        <f>IF(F119+SUM(E$99:E119)=D$92,F119,D$92-SUM(E$99:E119))</f>
        <v>2573249</v>
      </c>
      <c r="E120" s="484">
        <f t="shared" si="34"/>
        <v>129725</v>
      </c>
      <c r="F120" s="485">
        <f t="shared" si="35"/>
        <v>2443524</v>
      </c>
      <c r="G120" s="485">
        <f t="shared" si="36"/>
        <v>2508386.5</v>
      </c>
      <c r="H120" s="486">
        <f t="shared" si="37"/>
        <v>406105.67900746607</v>
      </c>
      <c r="I120" s="542">
        <f t="shared" si="38"/>
        <v>406105.67900746607</v>
      </c>
      <c r="J120" s="478">
        <f t="shared" si="25"/>
        <v>0</v>
      </c>
      <c r="K120" s="478"/>
      <c r="L120" s="487"/>
      <c r="M120" s="478">
        <f t="shared" si="39"/>
        <v>0</v>
      </c>
      <c r="N120" s="487"/>
      <c r="O120" s="478">
        <f t="shared" si="26"/>
        <v>0</v>
      </c>
      <c r="P120" s="478">
        <f t="shared" si="27"/>
        <v>0</v>
      </c>
    </row>
    <row r="121" spans="2:16">
      <c r="B121" s="160" t="str">
        <f t="shared" si="24"/>
        <v/>
      </c>
      <c r="C121" s="472">
        <f>IF(D93="","-",+C120+1)</f>
        <v>2036</v>
      </c>
      <c r="D121" s="347">
        <f>IF(F120+SUM(E$99:E120)=D$92,F120,D$92-SUM(E$99:E120))</f>
        <v>2443524</v>
      </c>
      <c r="E121" s="484">
        <f t="shared" si="34"/>
        <v>129725</v>
      </c>
      <c r="F121" s="485">
        <f t="shared" si="35"/>
        <v>2313799</v>
      </c>
      <c r="G121" s="485">
        <f t="shared" si="36"/>
        <v>2378661.5</v>
      </c>
      <c r="H121" s="486">
        <f t="shared" si="37"/>
        <v>391812.23436317244</v>
      </c>
      <c r="I121" s="542">
        <f t="shared" si="38"/>
        <v>391812.23436317244</v>
      </c>
      <c r="J121" s="478">
        <f t="shared" si="25"/>
        <v>0</v>
      </c>
      <c r="K121" s="478"/>
      <c r="L121" s="487"/>
      <c r="M121" s="478">
        <f t="shared" si="39"/>
        <v>0</v>
      </c>
      <c r="N121" s="487"/>
      <c r="O121" s="478">
        <f t="shared" si="26"/>
        <v>0</v>
      </c>
      <c r="P121" s="478">
        <f t="shared" si="27"/>
        <v>0</v>
      </c>
    </row>
    <row r="122" spans="2:16">
      <c r="B122" s="160" t="str">
        <f t="shared" si="24"/>
        <v/>
      </c>
      <c r="C122" s="472">
        <f>IF(D93="","-",+C121+1)</f>
        <v>2037</v>
      </c>
      <c r="D122" s="347">
        <f>IF(F121+SUM(E$99:E121)=D$92,F121,D$92-SUM(E$99:E121))</f>
        <v>2313799</v>
      </c>
      <c r="E122" s="484">
        <f t="shared" si="34"/>
        <v>129725</v>
      </c>
      <c r="F122" s="485">
        <f t="shared" si="35"/>
        <v>2184074</v>
      </c>
      <c r="G122" s="485">
        <f t="shared" si="36"/>
        <v>2248936.5</v>
      </c>
      <c r="H122" s="486">
        <f t="shared" si="37"/>
        <v>377518.78971887875</v>
      </c>
      <c r="I122" s="542">
        <f t="shared" si="38"/>
        <v>377518.78971887875</v>
      </c>
      <c r="J122" s="478">
        <f t="shared" si="25"/>
        <v>0</v>
      </c>
      <c r="K122" s="478"/>
      <c r="L122" s="487"/>
      <c r="M122" s="478">
        <f t="shared" si="39"/>
        <v>0</v>
      </c>
      <c r="N122" s="487"/>
      <c r="O122" s="478">
        <f t="shared" si="26"/>
        <v>0</v>
      </c>
      <c r="P122" s="478">
        <f t="shared" si="27"/>
        <v>0</v>
      </c>
    </row>
    <row r="123" spans="2:16">
      <c r="B123" s="160" t="str">
        <f t="shared" si="24"/>
        <v/>
      </c>
      <c r="C123" s="472">
        <f>IF(D93="","-",+C122+1)</f>
        <v>2038</v>
      </c>
      <c r="D123" s="347">
        <f>IF(F122+SUM(E$99:E122)=D$92,F122,D$92-SUM(E$99:E122))</f>
        <v>2184074</v>
      </c>
      <c r="E123" s="484">
        <f t="shared" si="34"/>
        <v>129725</v>
      </c>
      <c r="F123" s="485">
        <f t="shared" si="35"/>
        <v>2054349</v>
      </c>
      <c r="G123" s="485">
        <f t="shared" si="36"/>
        <v>2119211.5</v>
      </c>
      <c r="H123" s="486">
        <f t="shared" si="37"/>
        <v>363225.34507458506</v>
      </c>
      <c r="I123" s="542">
        <f t="shared" si="38"/>
        <v>363225.34507458506</v>
      </c>
      <c r="J123" s="478">
        <f t="shared" si="25"/>
        <v>0</v>
      </c>
      <c r="K123" s="478"/>
      <c r="L123" s="487"/>
      <c r="M123" s="478">
        <f t="shared" si="39"/>
        <v>0</v>
      </c>
      <c r="N123" s="487"/>
      <c r="O123" s="478">
        <f t="shared" si="26"/>
        <v>0</v>
      </c>
      <c r="P123" s="478">
        <f t="shared" si="27"/>
        <v>0</v>
      </c>
    </row>
    <row r="124" spans="2:16">
      <c r="B124" s="160" t="str">
        <f t="shared" si="24"/>
        <v/>
      </c>
      <c r="C124" s="472">
        <f>IF(D93="","-",+C123+1)</f>
        <v>2039</v>
      </c>
      <c r="D124" s="347">
        <f>IF(F123+SUM(E$99:E123)=D$92,F123,D$92-SUM(E$99:E123))</f>
        <v>2054349</v>
      </c>
      <c r="E124" s="484">
        <f t="shared" si="34"/>
        <v>129725</v>
      </c>
      <c r="F124" s="485">
        <f t="shared" si="35"/>
        <v>1924624</v>
      </c>
      <c r="G124" s="485">
        <f t="shared" si="36"/>
        <v>1989486.5</v>
      </c>
      <c r="H124" s="486">
        <f t="shared" si="37"/>
        <v>348931.90043029143</v>
      </c>
      <c r="I124" s="542">
        <f t="shared" si="38"/>
        <v>348931.90043029143</v>
      </c>
      <c r="J124" s="478">
        <f t="shared" si="25"/>
        <v>0</v>
      </c>
      <c r="K124" s="478"/>
      <c r="L124" s="487"/>
      <c r="M124" s="478">
        <f t="shared" si="39"/>
        <v>0</v>
      </c>
      <c r="N124" s="487"/>
      <c r="O124" s="478">
        <f t="shared" si="26"/>
        <v>0</v>
      </c>
      <c r="P124" s="478">
        <f t="shared" si="27"/>
        <v>0</v>
      </c>
    </row>
    <row r="125" spans="2:16">
      <c r="B125" s="160" t="str">
        <f t="shared" si="24"/>
        <v/>
      </c>
      <c r="C125" s="472">
        <f>IF(D93="","-",+C124+1)</f>
        <v>2040</v>
      </c>
      <c r="D125" s="347">
        <f>IF(F124+SUM(E$99:E124)=D$92,F124,D$92-SUM(E$99:E124))</f>
        <v>1924624</v>
      </c>
      <c r="E125" s="484">
        <f t="shared" si="34"/>
        <v>129725</v>
      </c>
      <c r="F125" s="485">
        <f t="shared" si="35"/>
        <v>1794899</v>
      </c>
      <c r="G125" s="485">
        <f t="shared" si="36"/>
        <v>1859761.5</v>
      </c>
      <c r="H125" s="486">
        <f t="shared" si="37"/>
        <v>334638.45578599774</v>
      </c>
      <c r="I125" s="542">
        <f t="shared" si="38"/>
        <v>334638.45578599774</v>
      </c>
      <c r="J125" s="478">
        <f t="shared" si="25"/>
        <v>0</v>
      </c>
      <c r="K125" s="478"/>
      <c r="L125" s="487"/>
      <c r="M125" s="478">
        <f t="shared" si="39"/>
        <v>0</v>
      </c>
      <c r="N125" s="487"/>
      <c r="O125" s="478">
        <f t="shared" si="26"/>
        <v>0</v>
      </c>
      <c r="P125" s="478">
        <f t="shared" si="27"/>
        <v>0</v>
      </c>
    </row>
    <row r="126" spans="2:16">
      <c r="B126" s="160" t="str">
        <f t="shared" si="24"/>
        <v/>
      </c>
      <c r="C126" s="472">
        <f>IF(D93="","-",+C125+1)</f>
        <v>2041</v>
      </c>
      <c r="D126" s="347">
        <f>IF(F125+SUM(E$99:E125)=D$92,F125,D$92-SUM(E$99:E125))</f>
        <v>1794899</v>
      </c>
      <c r="E126" s="484">
        <f t="shared" si="34"/>
        <v>129725</v>
      </c>
      <c r="F126" s="485">
        <f t="shared" si="35"/>
        <v>1665174</v>
      </c>
      <c r="G126" s="485">
        <f t="shared" si="36"/>
        <v>1730036.5</v>
      </c>
      <c r="H126" s="486">
        <f t="shared" si="37"/>
        <v>320345.01114170405</v>
      </c>
      <c r="I126" s="542">
        <f t="shared" si="38"/>
        <v>320345.01114170405</v>
      </c>
      <c r="J126" s="478">
        <f t="shared" si="25"/>
        <v>0</v>
      </c>
      <c r="K126" s="478"/>
      <c r="L126" s="487"/>
      <c r="M126" s="478">
        <f t="shared" si="39"/>
        <v>0</v>
      </c>
      <c r="N126" s="487"/>
      <c r="O126" s="478">
        <f t="shared" si="26"/>
        <v>0</v>
      </c>
      <c r="P126" s="478">
        <f t="shared" si="27"/>
        <v>0</v>
      </c>
    </row>
    <row r="127" spans="2:16">
      <c r="B127" s="160" t="str">
        <f t="shared" si="24"/>
        <v/>
      </c>
      <c r="C127" s="472">
        <f>IF(D93="","-",+C126+1)</f>
        <v>2042</v>
      </c>
      <c r="D127" s="347">
        <f>IF(F126+SUM(E$99:E126)=D$92,F126,D$92-SUM(E$99:E126))</f>
        <v>1665174</v>
      </c>
      <c r="E127" s="484">
        <f t="shared" si="34"/>
        <v>129725</v>
      </c>
      <c r="F127" s="485">
        <f t="shared" si="35"/>
        <v>1535449</v>
      </c>
      <c r="G127" s="485">
        <f t="shared" si="36"/>
        <v>1600311.5</v>
      </c>
      <c r="H127" s="486">
        <f t="shared" si="37"/>
        <v>306051.56649741041</v>
      </c>
      <c r="I127" s="542">
        <f t="shared" si="38"/>
        <v>306051.56649741041</v>
      </c>
      <c r="J127" s="478">
        <f t="shared" si="25"/>
        <v>0</v>
      </c>
      <c r="K127" s="478"/>
      <c r="L127" s="487"/>
      <c r="M127" s="478">
        <f t="shared" si="39"/>
        <v>0</v>
      </c>
      <c r="N127" s="487"/>
      <c r="O127" s="478">
        <f t="shared" si="26"/>
        <v>0</v>
      </c>
      <c r="P127" s="478">
        <f t="shared" si="27"/>
        <v>0</v>
      </c>
    </row>
    <row r="128" spans="2:16">
      <c r="B128" s="160" t="str">
        <f t="shared" si="24"/>
        <v/>
      </c>
      <c r="C128" s="472">
        <f>IF(D93="","-",+C127+1)</f>
        <v>2043</v>
      </c>
      <c r="D128" s="347">
        <f>IF(F127+SUM(E$99:E127)=D$92,F127,D$92-SUM(E$99:E127))</f>
        <v>1535449</v>
      </c>
      <c r="E128" s="484">
        <f t="shared" si="34"/>
        <v>129725</v>
      </c>
      <c r="F128" s="485">
        <f t="shared" si="35"/>
        <v>1405724</v>
      </c>
      <c r="G128" s="485">
        <f t="shared" si="36"/>
        <v>1470586.5</v>
      </c>
      <c r="H128" s="486">
        <f t="shared" si="37"/>
        <v>291758.12185311678</v>
      </c>
      <c r="I128" s="542">
        <f t="shared" si="38"/>
        <v>291758.12185311678</v>
      </c>
      <c r="J128" s="478">
        <f t="shared" si="25"/>
        <v>0</v>
      </c>
      <c r="K128" s="478"/>
      <c r="L128" s="487"/>
      <c r="M128" s="478">
        <f t="shared" si="39"/>
        <v>0</v>
      </c>
      <c r="N128" s="487"/>
      <c r="O128" s="478">
        <f t="shared" si="26"/>
        <v>0</v>
      </c>
      <c r="P128" s="478">
        <f t="shared" si="27"/>
        <v>0</v>
      </c>
    </row>
    <row r="129" spans="2:16">
      <c r="B129" s="160" t="str">
        <f t="shared" si="24"/>
        <v/>
      </c>
      <c r="C129" s="472">
        <f>IF(D93="","-",+C128+1)</f>
        <v>2044</v>
      </c>
      <c r="D129" s="347">
        <f>IF(F128+SUM(E$99:E128)=D$92,F128,D$92-SUM(E$99:E128))</f>
        <v>1405724</v>
      </c>
      <c r="E129" s="484">
        <f t="shared" si="34"/>
        <v>129725</v>
      </c>
      <c r="F129" s="485">
        <f t="shared" si="35"/>
        <v>1275999</v>
      </c>
      <c r="G129" s="485">
        <f t="shared" si="36"/>
        <v>1340861.5</v>
      </c>
      <c r="H129" s="486">
        <f t="shared" si="37"/>
        <v>277464.67720882304</v>
      </c>
      <c r="I129" s="542">
        <f t="shared" si="38"/>
        <v>277464.67720882304</v>
      </c>
      <c r="J129" s="478">
        <f t="shared" si="25"/>
        <v>0</v>
      </c>
      <c r="K129" s="478"/>
      <c r="L129" s="487"/>
      <c r="M129" s="478">
        <f t="shared" si="39"/>
        <v>0</v>
      </c>
      <c r="N129" s="487"/>
      <c r="O129" s="478">
        <f t="shared" si="26"/>
        <v>0</v>
      </c>
      <c r="P129" s="478">
        <f t="shared" si="27"/>
        <v>0</v>
      </c>
    </row>
    <row r="130" spans="2:16">
      <c r="B130" s="160" t="str">
        <f t="shared" si="24"/>
        <v/>
      </c>
      <c r="C130" s="472">
        <f>IF(D93="","-",+C129+1)</f>
        <v>2045</v>
      </c>
      <c r="D130" s="347">
        <f>IF(F129+SUM(E$99:E129)=D$92,F129,D$92-SUM(E$99:E129))</f>
        <v>1275999</v>
      </c>
      <c r="E130" s="484">
        <f t="shared" si="34"/>
        <v>129725</v>
      </c>
      <c r="F130" s="485">
        <f t="shared" si="35"/>
        <v>1146274</v>
      </c>
      <c r="G130" s="485">
        <f t="shared" si="36"/>
        <v>1211136.5</v>
      </c>
      <c r="H130" s="486">
        <f t="shared" si="37"/>
        <v>263171.2325645294</v>
      </c>
      <c r="I130" s="542">
        <f t="shared" si="38"/>
        <v>263171.2325645294</v>
      </c>
      <c r="J130" s="478">
        <f t="shared" si="25"/>
        <v>0</v>
      </c>
      <c r="K130" s="478"/>
      <c r="L130" s="487"/>
      <c r="M130" s="478">
        <f t="shared" si="39"/>
        <v>0</v>
      </c>
      <c r="N130" s="487"/>
      <c r="O130" s="478">
        <f t="shared" si="26"/>
        <v>0</v>
      </c>
      <c r="P130" s="478">
        <f t="shared" si="27"/>
        <v>0</v>
      </c>
    </row>
    <row r="131" spans="2:16">
      <c r="B131" s="160" t="str">
        <f t="shared" si="24"/>
        <v/>
      </c>
      <c r="C131" s="472">
        <f>IF(D93="","-",+C130+1)</f>
        <v>2046</v>
      </c>
      <c r="D131" s="347">
        <f>IF(F130+SUM(E$99:E130)=D$92,F130,D$92-SUM(E$99:E130))</f>
        <v>1146274</v>
      </c>
      <c r="E131" s="484">
        <f t="shared" si="34"/>
        <v>129725</v>
      </c>
      <c r="F131" s="485">
        <f t="shared" si="35"/>
        <v>1016549</v>
      </c>
      <c r="G131" s="485">
        <f t="shared" si="36"/>
        <v>1081411.5</v>
      </c>
      <c r="H131" s="486">
        <f t="shared" si="37"/>
        <v>248877.78792023574</v>
      </c>
      <c r="I131" s="542">
        <f t="shared" si="38"/>
        <v>248877.78792023574</v>
      </c>
      <c r="J131" s="478">
        <f t="shared" si="25"/>
        <v>0</v>
      </c>
      <c r="K131" s="478"/>
      <c r="L131" s="487"/>
      <c r="M131" s="478">
        <f t="shared" ref="M131:M154" si="40">IF(L541&lt;&gt;0,+H541-L541,0)</f>
        <v>0</v>
      </c>
      <c r="N131" s="487"/>
      <c r="O131" s="478">
        <f t="shared" ref="O131:O154" si="41">IF(N541&lt;&gt;0,+I541-N541,0)</f>
        <v>0</v>
      </c>
      <c r="P131" s="478">
        <f t="shared" ref="P131:P154" si="42">+O541-M541</f>
        <v>0</v>
      </c>
    </row>
    <row r="132" spans="2:16">
      <c r="B132" s="160" t="str">
        <f t="shared" si="24"/>
        <v/>
      </c>
      <c r="C132" s="472">
        <f>IF(D93="","-",+C131+1)</f>
        <v>2047</v>
      </c>
      <c r="D132" s="347">
        <f>IF(F131+SUM(E$99:E131)=D$92,F131,D$92-SUM(E$99:E131))</f>
        <v>1016549</v>
      </c>
      <c r="E132" s="484">
        <f t="shared" si="34"/>
        <v>129725</v>
      </c>
      <c r="F132" s="485">
        <f t="shared" si="35"/>
        <v>886824</v>
      </c>
      <c r="G132" s="485">
        <f t="shared" si="36"/>
        <v>951686.5</v>
      </c>
      <c r="H132" s="486">
        <f t="shared" si="37"/>
        <v>234584.34327594208</v>
      </c>
      <c r="I132" s="542">
        <f t="shared" si="38"/>
        <v>234584.34327594208</v>
      </c>
      <c r="J132" s="478">
        <f t="shared" si="25"/>
        <v>0</v>
      </c>
      <c r="K132" s="478"/>
      <c r="L132" s="487"/>
      <c r="M132" s="478">
        <f t="shared" si="40"/>
        <v>0</v>
      </c>
      <c r="N132" s="487"/>
      <c r="O132" s="478">
        <f t="shared" si="41"/>
        <v>0</v>
      </c>
      <c r="P132" s="478">
        <f t="shared" si="42"/>
        <v>0</v>
      </c>
    </row>
    <row r="133" spans="2:16">
      <c r="B133" s="160" t="str">
        <f t="shared" si="24"/>
        <v/>
      </c>
      <c r="C133" s="472">
        <f>IF(D93="","-",+C132+1)</f>
        <v>2048</v>
      </c>
      <c r="D133" s="347">
        <f>IF(F132+SUM(E$99:E132)=D$92,F132,D$92-SUM(E$99:E132))</f>
        <v>886824</v>
      </c>
      <c r="E133" s="484">
        <f t="shared" si="34"/>
        <v>129725</v>
      </c>
      <c r="F133" s="485">
        <f t="shared" si="35"/>
        <v>757099</v>
      </c>
      <c r="G133" s="485">
        <f t="shared" si="36"/>
        <v>821961.5</v>
      </c>
      <c r="H133" s="486">
        <f t="shared" si="37"/>
        <v>220290.89863164839</v>
      </c>
      <c r="I133" s="542">
        <f t="shared" si="38"/>
        <v>220290.89863164839</v>
      </c>
      <c r="J133" s="478">
        <f t="shared" si="25"/>
        <v>0</v>
      </c>
      <c r="K133" s="478"/>
      <c r="L133" s="487"/>
      <c r="M133" s="478">
        <f t="shared" si="40"/>
        <v>0</v>
      </c>
      <c r="N133" s="487"/>
      <c r="O133" s="478">
        <f t="shared" si="41"/>
        <v>0</v>
      </c>
      <c r="P133" s="478">
        <f t="shared" si="42"/>
        <v>0</v>
      </c>
    </row>
    <row r="134" spans="2:16">
      <c r="B134" s="160" t="str">
        <f t="shared" si="24"/>
        <v/>
      </c>
      <c r="C134" s="472">
        <f>IF(D93="","-",+C133+1)</f>
        <v>2049</v>
      </c>
      <c r="D134" s="347">
        <f>IF(F133+SUM(E$99:E133)=D$92,F133,D$92-SUM(E$99:E133))</f>
        <v>757099</v>
      </c>
      <c r="E134" s="484">
        <f t="shared" si="34"/>
        <v>129725</v>
      </c>
      <c r="F134" s="485">
        <f t="shared" si="35"/>
        <v>627374</v>
      </c>
      <c r="G134" s="485">
        <f t="shared" si="36"/>
        <v>692236.5</v>
      </c>
      <c r="H134" s="486">
        <f t="shared" si="37"/>
        <v>205997.45398735473</v>
      </c>
      <c r="I134" s="542">
        <f t="shared" si="38"/>
        <v>205997.45398735473</v>
      </c>
      <c r="J134" s="478">
        <f t="shared" si="25"/>
        <v>0</v>
      </c>
      <c r="K134" s="478"/>
      <c r="L134" s="487"/>
      <c r="M134" s="478">
        <f t="shared" si="40"/>
        <v>0</v>
      </c>
      <c r="N134" s="487"/>
      <c r="O134" s="478">
        <f t="shared" si="41"/>
        <v>0</v>
      </c>
      <c r="P134" s="478">
        <f t="shared" si="42"/>
        <v>0</v>
      </c>
    </row>
    <row r="135" spans="2:16">
      <c r="B135" s="160" t="str">
        <f t="shared" si="24"/>
        <v/>
      </c>
      <c r="C135" s="472">
        <f>IF(D93="","-",+C134+1)</f>
        <v>2050</v>
      </c>
      <c r="D135" s="347">
        <f>IF(F134+SUM(E$99:E134)=D$92,F134,D$92-SUM(E$99:E134))</f>
        <v>627374</v>
      </c>
      <c r="E135" s="484">
        <f t="shared" si="34"/>
        <v>129725</v>
      </c>
      <c r="F135" s="485">
        <f t="shared" si="35"/>
        <v>497649</v>
      </c>
      <c r="G135" s="485">
        <f t="shared" si="36"/>
        <v>562511.5</v>
      </c>
      <c r="H135" s="486">
        <f t="shared" si="37"/>
        <v>191704.00934306107</v>
      </c>
      <c r="I135" s="542">
        <f t="shared" si="38"/>
        <v>191704.00934306107</v>
      </c>
      <c r="J135" s="478">
        <f t="shared" si="25"/>
        <v>0</v>
      </c>
      <c r="K135" s="478"/>
      <c r="L135" s="487"/>
      <c r="M135" s="478">
        <f t="shared" si="40"/>
        <v>0</v>
      </c>
      <c r="N135" s="487"/>
      <c r="O135" s="478">
        <f t="shared" si="41"/>
        <v>0</v>
      </c>
      <c r="P135" s="478">
        <f t="shared" si="42"/>
        <v>0</v>
      </c>
    </row>
    <row r="136" spans="2:16">
      <c r="B136" s="160" t="str">
        <f t="shared" si="24"/>
        <v/>
      </c>
      <c r="C136" s="472">
        <f>IF(D93="","-",+C135+1)</f>
        <v>2051</v>
      </c>
      <c r="D136" s="347">
        <f>IF(F135+SUM(E$99:E135)=D$92,F135,D$92-SUM(E$99:E135))</f>
        <v>497649</v>
      </c>
      <c r="E136" s="484">
        <f t="shared" si="34"/>
        <v>129725</v>
      </c>
      <c r="F136" s="485">
        <f t="shared" si="35"/>
        <v>367924</v>
      </c>
      <c r="G136" s="485">
        <f t="shared" si="36"/>
        <v>432786.5</v>
      </c>
      <c r="H136" s="486">
        <f t="shared" si="37"/>
        <v>177410.56469876741</v>
      </c>
      <c r="I136" s="542">
        <f t="shared" si="38"/>
        <v>177410.56469876741</v>
      </c>
      <c r="J136" s="478">
        <f t="shared" si="25"/>
        <v>0</v>
      </c>
      <c r="K136" s="478"/>
      <c r="L136" s="487"/>
      <c r="M136" s="478">
        <f t="shared" si="40"/>
        <v>0</v>
      </c>
      <c r="N136" s="487"/>
      <c r="O136" s="478">
        <f t="shared" si="41"/>
        <v>0</v>
      </c>
      <c r="P136" s="478">
        <f t="shared" si="42"/>
        <v>0</v>
      </c>
    </row>
    <row r="137" spans="2:16">
      <c r="B137" s="160" t="str">
        <f t="shared" si="24"/>
        <v/>
      </c>
      <c r="C137" s="472">
        <f>IF(D93="","-",+C136+1)</f>
        <v>2052</v>
      </c>
      <c r="D137" s="347">
        <f>IF(F136+SUM(E$99:E136)=D$92,F136,D$92-SUM(E$99:E136))</f>
        <v>367924</v>
      </c>
      <c r="E137" s="484">
        <f t="shared" si="34"/>
        <v>129725</v>
      </c>
      <c r="F137" s="485">
        <f t="shared" si="35"/>
        <v>238199</v>
      </c>
      <c r="G137" s="485">
        <f t="shared" si="36"/>
        <v>303061.5</v>
      </c>
      <c r="H137" s="486">
        <f t="shared" si="37"/>
        <v>163117.12005447375</v>
      </c>
      <c r="I137" s="542">
        <f t="shared" si="38"/>
        <v>163117.12005447375</v>
      </c>
      <c r="J137" s="478">
        <f t="shared" si="25"/>
        <v>0</v>
      </c>
      <c r="K137" s="478"/>
      <c r="L137" s="487"/>
      <c r="M137" s="478">
        <f t="shared" si="40"/>
        <v>0</v>
      </c>
      <c r="N137" s="487"/>
      <c r="O137" s="478">
        <f t="shared" si="41"/>
        <v>0</v>
      </c>
      <c r="P137" s="478">
        <f t="shared" si="42"/>
        <v>0</v>
      </c>
    </row>
    <row r="138" spans="2:16">
      <c r="B138" s="160" t="str">
        <f t="shared" si="24"/>
        <v/>
      </c>
      <c r="C138" s="472">
        <f>IF(D93="","-",+C137+1)</f>
        <v>2053</v>
      </c>
      <c r="D138" s="347">
        <f>IF(F137+SUM(E$99:E137)=D$92,F137,D$92-SUM(E$99:E137))</f>
        <v>238199</v>
      </c>
      <c r="E138" s="484">
        <f t="shared" si="34"/>
        <v>129725</v>
      </c>
      <c r="F138" s="485">
        <f t="shared" si="35"/>
        <v>108474</v>
      </c>
      <c r="G138" s="485">
        <f t="shared" si="36"/>
        <v>173336.5</v>
      </c>
      <c r="H138" s="486">
        <f t="shared" si="37"/>
        <v>148823.67541018006</v>
      </c>
      <c r="I138" s="542">
        <f t="shared" si="38"/>
        <v>148823.67541018006</v>
      </c>
      <c r="J138" s="478">
        <f t="shared" si="25"/>
        <v>0</v>
      </c>
      <c r="K138" s="478"/>
      <c r="L138" s="487"/>
      <c r="M138" s="478">
        <f t="shared" si="40"/>
        <v>0</v>
      </c>
      <c r="N138" s="487"/>
      <c r="O138" s="478">
        <f t="shared" si="41"/>
        <v>0</v>
      </c>
      <c r="P138" s="478">
        <f t="shared" si="42"/>
        <v>0</v>
      </c>
    </row>
    <row r="139" spans="2:16">
      <c r="B139" s="160" t="str">
        <f t="shared" si="24"/>
        <v/>
      </c>
      <c r="C139" s="472">
        <f>IF(D93="","-",+C138+1)</f>
        <v>2054</v>
      </c>
      <c r="D139" s="347">
        <f>IF(F138+SUM(E$99:E138)=D$92,F138,D$92-SUM(E$99:E138))</f>
        <v>108474</v>
      </c>
      <c r="E139" s="484">
        <f t="shared" si="34"/>
        <v>108474</v>
      </c>
      <c r="F139" s="485">
        <f t="shared" si="35"/>
        <v>0</v>
      </c>
      <c r="G139" s="485">
        <f t="shared" si="36"/>
        <v>54237</v>
      </c>
      <c r="H139" s="486">
        <f t="shared" si="37"/>
        <v>114449.97654401662</v>
      </c>
      <c r="I139" s="542">
        <f t="shared" si="38"/>
        <v>114449.97654401662</v>
      </c>
      <c r="J139" s="478">
        <f t="shared" si="25"/>
        <v>0</v>
      </c>
      <c r="K139" s="478"/>
      <c r="L139" s="487"/>
      <c r="M139" s="478">
        <f t="shared" si="40"/>
        <v>0</v>
      </c>
      <c r="N139" s="487"/>
      <c r="O139" s="478">
        <f t="shared" si="41"/>
        <v>0</v>
      </c>
      <c r="P139" s="478">
        <f t="shared" si="42"/>
        <v>0</v>
      </c>
    </row>
    <row r="140" spans="2:16">
      <c r="B140" s="160" t="str">
        <f t="shared" si="24"/>
        <v/>
      </c>
      <c r="C140" s="472">
        <f>IF(D93="","-",+C139+1)</f>
        <v>2055</v>
      </c>
      <c r="D140" s="347">
        <f>IF(F139+SUM(E$99:E139)=D$92,F139,D$92-SUM(E$99:E139))</f>
        <v>0</v>
      </c>
      <c r="E140" s="484">
        <f t="shared" si="34"/>
        <v>0</v>
      </c>
      <c r="F140" s="485">
        <f t="shared" si="35"/>
        <v>0</v>
      </c>
      <c r="G140" s="485">
        <f t="shared" si="36"/>
        <v>0</v>
      </c>
      <c r="H140" s="486">
        <f t="shared" si="37"/>
        <v>0</v>
      </c>
      <c r="I140" s="542">
        <f t="shared" si="38"/>
        <v>0</v>
      </c>
      <c r="J140" s="478">
        <f t="shared" si="25"/>
        <v>0</v>
      </c>
      <c r="K140" s="478"/>
      <c r="L140" s="487"/>
      <c r="M140" s="478">
        <f t="shared" si="40"/>
        <v>0</v>
      </c>
      <c r="N140" s="487"/>
      <c r="O140" s="478">
        <f t="shared" si="41"/>
        <v>0</v>
      </c>
      <c r="P140" s="478">
        <f t="shared" si="42"/>
        <v>0</v>
      </c>
    </row>
    <row r="141" spans="2:16">
      <c r="B141" s="160" t="str">
        <f t="shared" si="24"/>
        <v/>
      </c>
      <c r="C141" s="472">
        <f>IF(D93="","-",+C140+1)</f>
        <v>2056</v>
      </c>
      <c r="D141" s="347">
        <f>IF(F140+SUM(E$99:E140)=D$92,F140,D$92-SUM(E$99:E140))</f>
        <v>0</v>
      </c>
      <c r="E141" s="484">
        <f t="shared" si="34"/>
        <v>0</v>
      </c>
      <c r="F141" s="485">
        <f t="shared" si="35"/>
        <v>0</v>
      </c>
      <c r="G141" s="485">
        <f t="shared" si="36"/>
        <v>0</v>
      </c>
      <c r="H141" s="486">
        <f t="shared" si="37"/>
        <v>0</v>
      </c>
      <c r="I141" s="542">
        <f t="shared" si="38"/>
        <v>0</v>
      </c>
      <c r="J141" s="478">
        <f t="shared" si="25"/>
        <v>0</v>
      </c>
      <c r="K141" s="478"/>
      <c r="L141" s="487"/>
      <c r="M141" s="478">
        <f t="shared" si="40"/>
        <v>0</v>
      </c>
      <c r="N141" s="487"/>
      <c r="O141" s="478">
        <f t="shared" si="41"/>
        <v>0</v>
      </c>
      <c r="P141" s="478">
        <f t="shared" si="42"/>
        <v>0</v>
      </c>
    </row>
    <row r="142" spans="2:16">
      <c r="B142" s="160" t="str">
        <f t="shared" si="24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34"/>
        <v>0</v>
      </c>
      <c r="F142" s="485">
        <f t="shared" si="35"/>
        <v>0</v>
      </c>
      <c r="G142" s="485">
        <f t="shared" si="36"/>
        <v>0</v>
      </c>
      <c r="H142" s="486">
        <f t="shared" si="37"/>
        <v>0</v>
      </c>
      <c r="I142" s="542">
        <f t="shared" si="38"/>
        <v>0</v>
      </c>
      <c r="J142" s="478">
        <f t="shared" si="25"/>
        <v>0</v>
      </c>
      <c r="K142" s="478"/>
      <c r="L142" s="487"/>
      <c r="M142" s="478">
        <f t="shared" si="40"/>
        <v>0</v>
      </c>
      <c r="N142" s="487"/>
      <c r="O142" s="478">
        <f t="shared" si="41"/>
        <v>0</v>
      </c>
      <c r="P142" s="478">
        <f t="shared" si="42"/>
        <v>0</v>
      </c>
    </row>
    <row r="143" spans="2:16">
      <c r="B143" s="160" t="str">
        <f t="shared" si="24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34"/>
        <v>0</v>
      </c>
      <c r="F143" s="485">
        <f t="shared" si="35"/>
        <v>0</v>
      </c>
      <c r="G143" s="485">
        <f t="shared" si="36"/>
        <v>0</v>
      </c>
      <c r="H143" s="486">
        <f t="shared" si="37"/>
        <v>0</v>
      </c>
      <c r="I143" s="542">
        <f t="shared" si="38"/>
        <v>0</v>
      </c>
      <c r="J143" s="478">
        <f t="shared" si="25"/>
        <v>0</v>
      </c>
      <c r="K143" s="478"/>
      <c r="L143" s="487"/>
      <c r="M143" s="478">
        <f t="shared" si="40"/>
        <v>0</v>
      </c>
      <c r="N143" s="487"/>
      <c r="O143" s="478">
        <f t="shared" si="41"/>
        <v>0</v>
      </c>
      <c r="P143" s="478">
        <f t="shared" si="42"/>
        <v>0</v>
      </c>
    </row>
    <row r="144" spans="2:16">
      <c r="B144" s="160" t="str">
        <f t="shared" si="24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34"/>
        <v>0</v>
      </c>
      <c r="F144" s="485">
        <f t="shared" si="35"/>
        <v>0</v>
      </c>
      <c r="G144" s="485">
        <f t="shared" si="36"/>
        <v>0</v>
      </c>
      <c r="H144" s="486">
        <f t="shared" si="37"/>
        <v>0</v>
      </c>
      <c r="I144" s="542">
        <f t="shared" si="38"/>
        <v>0</v>
      </c>
      <c r="J144" s="478">
        <f t="shared" si="25"/>
        <v>0</v>
      </c>
      <c r="K144" s="478"/>
      <c r="L144" s="487"/>
      <c r="M144" s="478">
        <f t="shared" si="40"/>
        <v>0</v>
      </c>
      <c r="N144" s="487"/>
      <c r="O144" s="478">
        <f t="shared" si="41"/>
        <v>0</v>
      </c>
      <c r="P144" s="478">
        <f t="shared" si="42"/>
        <v>0</v>
      </c>
    </row>
    <row r="145" spans="2:16">
      <c r="B145" s="160" t="str">
        <f t="shared" si="24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34"/>
        <v>0</v>
      </c>
      <c r="F145" s="485">
        <f t="shared" si="35"/>
        <v>0</v>
      </c>
      <c r="G145" s="485">
        <f t="shared" si="36"/>
        <v>0</v>
      </c>
      <c r="H145" s="486">
        <f t="shared" si="37"/>
        <v>0</v>
      </c>
      <c r="I145" s="542">
        <f t="shared" si="38"/>
        <v>0</v>
      </c>
      <c r="J145" s="478">
        <f t="shared" si="25"/>
        <v>0</v>
      </c>
      <c r="K145" s="478"/>
      <c r="L145" s="487"/>
      <c r="M145" s="478">
        <f t="shared" si="40"/>
        <v>0</v>
      </c>
      <c r="N145" s="487"/>
      <c r="O145" s="478">
        <f t="shared" si="41"/>
        <v>0</v>
      </c>
      <c r="P145" s="478">
        <f t="shared" si="42"/>
        <v>0</v>
      </c>
    </row>
    <row r="146" spans="2:16">
      <c r="B146" s="160" t="str">
        <f t="shared" si="24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34"/>
        <v>0</v>
      </c>
      <c r="F146" s="485">
        <f t="shared" si="35"/>
        <v>0</v>
      </c>
      <c r="G146" s="485">
        <f t="shared" si="36"/>
        <v>0</v>
      </c>
      <c r="H146" s="486">
        <f t="shared" si="37"/>
        <v>0</v>
      </c>
      <c r="I146" s="542">
        <f t="shared" si="38"/>
        <v>0</v>
      </c>
      <c r="J146" s="478">
        <f t="shared" si="25"/>
        <v>0</v>
      </c>
      <c r="K146" s="478"/>
      <c r="L146" s="487"/>
      <c r="M146" s="478">
        <f t="shared" si="40"/>
        <v>0</v>
      </c>
      <c r="N146" s="487"/>
      <c r="O146" s="478">
        <f t="shared" si="41"/>
        <v>0</v>
      </c>
      <c r="P146" s="478">
        <f t="shared" si="42"/>
        <v>0</v>
      </c>
    </row>
    <row r="147" spans="2:16">
      <c r="B147" s="160" t="str">
        <f t="shared" si="24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34"/>
        <v>0</v>
      </c>
      <c r="F147" s="485">
        <f t="shared" si="35"/>
        <v>0</v>
      </c>
      <c r="G147" s="485">
        <f t="shared" si="36"/>
        <v>0</v>
      </c>
      <c r="H147" s="486">
        <f t="shared" si="37"/>
        <v>0</v>
      </c>
      <c r="I147" s="542">
        <f t="shared" si="38"/>
        <v>0</v>
      </c>
      <c r="J147" s="478">
        <f t="shared" si="25"/>
        <v>0</v>
      </c>
      <c r="K147" s="478"/>
      <c r="L147" s="487"/>
      <c r="M147" s="478">
        <f t="shared" si="40"/>
        <v>0</v>
      </c>
      <c r="N147" s="487"/>
      <c r="O147" s="478">
        <f t="shared" si="41"/>
        <v>0</v>
      </c>
      <c r="P147" s="478">
        <f t="shared" si="42"/>
        <v>0</v>
      </c>
    </row>
    <row r="148" spans="2:16">
      <c r="B148" s="160" t="str">
        <f t="shared" si="24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34"/>
        <v>0</v>
      </c>
      <c r="F148" s="485">
        <f t="shared" si="35"/>
        <v>0</v>
      </c>
      <c r="G148" s="485">
        <f t="shared" si="36"/>
        <v>0</v>
      </c>
      <c r="H148" s="486">
        <f t="shared" si="37"/>
        <v>0</v>
      </c>
      <c r="I148" s="542">
        <f t="shared" si="38"/>
        <v>0</v>
      </c>
      <c r="J148" s="478">
        <f t="shared" si="25"/>
        <v>0</v>
      </c>
      <c r="K148" s="478"/>
      <c r="L148" s="487"/>
      <c r="M148" s="478">
        <f t="shared" si="40"/>
        <v>0</v>
      </c>
      <c r="N148" s="487"/>
      <c r="O148" s="478">
        <f t="shared" si="41"/>
        <v>0</v>
      </c>
      <c r="P148" s="478">
        <f t="shared" si="42"/>
        <v>0</v>
      </c>
    </row>
    <row r="149" spans="2:16">
      <c r="B149" s="160" t="str">
        <f t="shared" si="24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34"/>
        <v>0</v>
      </c>
      <c r="F149" s="485">
        <f t="shared" si="35"/>
        <v>0</v>
      </c>
      <c r="G149" s="485">
        <f t="shared" si="36"/>
        <v>0</v>
      </c>
      <c r="H149" s="486">
        <f t="shared" si="37"/>
        <v>0</v>
      </c>
      <c r="I149" s="542">
        <f t="shared" si="38"/>
        <v>0</v>
      </c>
      <c r="J149" s="478">
        <f t="shared" si="25"/>
        <v>0</v>
      </c>
      <c r="K149" s="478"/>
      <c r="L149" s="487"/>
      <c r="M149" s="478">
        <f t="shared" si="40"/>
        <v>0</v>
      </c>
      <c r="N149" s="487"/>
      <c r="O149" s="478">
        <f t="shared" si="41"/>
        <v>0</v>
      </c>
      <c r="P149" s="478">
        <f t="shared" si="42"/>
        <v>0</v>
      </c>
    </row>
    <row r="150" spans="2:16">
      <c r="B150" s="160" t="str">
        <f t="shared" si="24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34"/>
        <v>0</v>
      </c>
      <c r="F150" s="485">
        <f t="shared" si="35"/>
        <v>0</v>
      </c>
      <c r="G150" s="485">
        <f t="shared" si="36"/>
        <v>0</v>
      </c>
      <c r="H150" s="486">
        <f t="shared" si="37"/>
        <v>0</v>
      </c>
      <c r="I150" s="542">
        <f t="shared" si="38"/>
        <v>0</v>
      </c>
      <c r="J150" s="478">
        <f t="shared" si="25"/>
        <v>0</v>
      </c>
      <c r="K150" s="478"/>
      <c r="L150" s="487"/>
      <c r="M150" s="478">
        <f t="shared" si="40"/>
        <v>0</v>
      </c>
      <c r="N150" s="487"/>
      <c r="O150" s="478">
        <f t="shared" si="41"/>
        <v>0</v>
      </c>
      <c r="P150" s="478">
        <f t="shared" si="42"/>
        <v>0</v>
      </c>
    </row>
    <row r="151" spans="2:16">
      <c r="B151" s="160" t="str">
        <f t="shared" si="24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34"/>
        <v>0</v>
      </c>
      <c r="F151" s="485">
        <f t="shared" si="35"/>
        <v>0</v>
      </c>
      <c r="G151" s="485">
        <f t="shared" si="36"/>
        <v>0</v>
      </c>
      <c r="H151" s="486">
        <f t="shared" si="37"/>
        <v>0</v>
      </c>
      <c r="I151" s="542">
        <f t="shared" si="38"/>
        <v>0</v>
      </c>
      <c r="J151" s="478">
        <f t="shared" si="25"/>
        <v>0</v>
      </c>
      <c r="K151" s="478"/>
      <c r="L151" s="487"/>
      <c r="M151" s="478">
        <f t="shared" si="40"/>
        <v>0</v>
      </c>
      <c r="N151" s="487"/>
      <c r="O151" s="478">
        <f t="shared" si="41"/>
        <v>0</v>
      </c>
      <c r="P151" s="478">
        <f t="shared" si="42"/>
        <v>0</v>
      </c>
    </row>
    <row r="152" spans="2:16">
      <c r="B152" s="160" t="str">
        <f t="shared" si="24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34"/>
        <v>0</v>
      </c>
      <c r="F152" s="485">
        <f t="shared" si="35"/>
        <v>0</v>
      </c>
      <c r="G152" s="485">
        <f t="shared" si="36"/>
        <v>0</v>
      </c>
      <c r="H152" s="486">
        <f t="shared" si="37"/>
        <v>0</v>
      </c>
      <c r="I152" s="542">
        <f t="shared" si="38"/>
        <v>0</v>
      </c>
      <c r="J152" s="478">
        <f t="shared" si="25"/>
        <v>0</v>
      </c>
      <c r="K152" s="478"/>
      <c r="L152" s="487"/>
      <c r="M152" s="478">
        <f t="shared" si="40"/>
        <v>0</v>
      </c>
      <c r="N152" s="487"/>
      <c r="O152" s="478">
        <f t="shared" si="41"/>
        <v>0</v>
      </c>
      <c r="P152" s="478">
        <f t="shared" si="42"/>
        <v>0</v>
      </c>
    </row>
    <row r="153" spans="2:16">
      <c r="B153" s="160" t="str">
        <f t="shared" si="24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34"/>
        <v>0</v>
      </c>
      <c r="F153" s="485">
        <f t="shared" si="35"/>
        <v>0</v>
      </c>
      <c r="G153" s="485">
        <f t="shared" si="36"/>
        <v>0</v>
      </c>
      <c r="H153" s="486">
        <f t="shared" si="37"/>
        <v>0</v>
      </c>
      <c r="I153" s="542">
        <f t="shared" si="38"/>
        <v>0</v>
      </c>
      <c r="J153" s="478">
        <f t="shared" si="25"/>
        <v>0</v>
      </c>
      <c r="K153" s="478"/>
      <c r="L153" s="487"/>
      <c r="M153" s="478">
        <f t="shared" si="40"/>
        <v>0</v>
      </c>
      <c r="N153" s="487"/>
      <c r="O153" s="478">
        <f t="shared" si="41"/>
        <v>0</v>
      </c>
      <c r="P153" s="478">
        <f t="shared" si="42"/>
        <v>0</v>
      </c>
    </row>
    <row r="154" spans="2:16" ht="13.5" thickBot="1">
      <c r="B154" s="160" t="str">
        <f t="shared" si="24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34"/>
        <v>0</v>
      </c>
      <c r="F154" s="490">
        <f t="shared" si="35"/>
        <v>0</v>
      </c>
      <c r="G154" s="490">
        <f t="shared" si="36"/>
        <v>0</v>
      </c>
      <c r="H154" s="492">
        <f t="shared" ref="H154" si="43">+J$94*G154+E154</f>
        <v>0</v>
      </c>
      <c r="I154" s="545">
        <f t="shared" ref="I154" si="44">+J$95*G154+E154</f>
        <v>0</v>
      </c>
      <c r="J154" s="495">
        <f t="shared" si="25"/>
        <v>0</v>
      </c>
      <c r="K154" s="495"/>
      <c r="L154" s="494"/>
      <c r="M154" s="495">
        <f t="shared" si="40"/>
        <v>0</v>
      </c>
      <c r="N154" s="494"/>
      <c r="O154" s="495">
        <f t="shared" si="41"/>
        <v>0</v>
      </c>
      <c r="P154" s="495">
        <f t="shared" si="42"/>
        <v>0</v>
      </c>
    </row>
    <row r="155" spans="2:16">
      <c r="C155" s="347" t="s">
        <v>77</v>
      </c>
      <c r="D155" s="348"/>
      <c r="E155" s="348">
        <f>SUM(E99:E154)</f>
        <v>5059278</v>
      </c>
      <c r="F155" s="348"/>
      <c r="G155" s="348"/>
      <c r="H155" s="348">
        <f>SUM(H99:H154)</f>
        <v>16998720.346271127</v>
      </c>
      <c r="I155" s="348">
        <f>SUM(I99:I154)</f>
        <v>16998720.346271127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tabColor rgb="FF92D050"/>
  </sheetPr>
  <dimension ref="A1:S137"/>
  <sheetViews>
    <sheetView view="pageBreakPreview" topLeftCell="A40" zoomScale="80" zoomScaleNormal="100" zoomScaleSheetLayoutView="80" workbookViewId="0">
      <selection sqref="A1:J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16.140625" style="148" customWidth="1"/>
    <col min="10" max="10" width="2.1406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3.5703125" style="148" bestFit="1" customWidth="1"/>
    <col min="17" max="17" width="4.7109375" style="148" customWidth="1"/>
    <col min="18" max="18" width="15.42578125" style="148" customWidth="1"/>
    <col min="19" max="19" width="81.85546875" style="148" bestFit="1" customWidth="1"/>
    <col min="20" max="22" width="8.7109375" style="148"/>
    <col min="23" max="23" width="9.140625" style="148" customWidth="1"/>
    <col min="24" max="16384" width="8.7109375" style="148"/>
  </cols>
  <sheetData>
    <row r="1" spans="1:18" ht="18">
      <c r="A1" s="718" t="s">
        <v>123</v>
      </c>
      <c r="B1" s="719"/>
      <c r="C1" s="719"/>
      <c r="D1" s="719"/>
      <c r="E1" s="719"/>
      <c r="F1" s="719"/>
      <c r="G1" s="719"/>
      <c r="H1" s="719"/>
      <c r="I1" s="719"/>
      <c r="J1" s="719"/>
    </row>
    <row r="2" spans="1:18" ht="18">
      <c r="A2" s="720" t="str">
        <f>L19+1&amp;" Cost of Service Formula Rate Projected on "&amp;L19&amp;" FF1 Balances"</f>
        <v>2023 Cost of Service Formula Rate Projected on 2022 FF1 Balances</v>
      </c>
      <c r="B2" s="720"/>
      <c r="C2" s="720"/>
      <c r="D2" s="720"/>
      <c r="E2" s="720"/>
      <c r="F2" s="720"/>
      <c r="G2" s="720"/>
      <c r="H2" s="720"/>
      <c r="I2" s="720"/>
      <c r="J2" s="720"/>
    </row>
    <row r="3" spans="1:18" ht="18">
      <c r="A3" s="721" t="s">
        <v>140</v>
      </c>
      <c r="B3" s="720"/>
      <c r="C3" s="720"/>
      <c r="D3" s="720"/>
      <c r="E3" s="720"/>
      <c r="F3" s="720"/>
      <c r="G3" s="720"/>
      <c r="H3" s="720"/>
      <c r="I3" s="720"/>
      <c r="J3" s="720"/>
      <c r="Q3" s="240" t="s">
        <v>125</v>
      </c>
    </row>
    <row r="4" spans="1:18" ht="18">
      <c r="A4" s="720" t="str">
        <f>"Based on a Carrying Charge Derived from ""Historic"" "&amp;L19&amp;" Data"</f>
        <v>Based on a Carrying Charge Derived from "Historic" 2022 Data</v>
      </c>
      <c r="B4" s="720"/>
      <c r="C4" s="720"/>
      <c r="D4" s="720"/>
      <c r="E4" s="720"/>
      <c r="F4" s="720"/>
      <c r="G4" s="720"/>
      <c r="H4" s="720"/>
      <c r="I4" s="720"/>
      <c r="J4" s="720"/>
    </row>
    <row r="5" spans="1:18" ht="18">
      <c r="A5" s="722" t="s">
        <v>124</v>
      </c>
      <c r="B5" s="722"/>
      <c r="C5" s="722"/>
      <c r="D5" s="722"/>
      <c r="E5" s="722"/>
      <c r="F5" s="722"/>
      <c r="G5" s="722"/>
      <c r="H5" s="722"/>
      <c r="I5" s="722"/>
      <c r="J5" s="722"/>
    </row>
    <row r="6" spans="1:18">
      <c r="A6" s="233"/>
      <c r="B6" s="233"/>
      <c r="C6" s="233"/>
      <c r="D6" s="241"/>
      <c r="E6" s="233"/>
      <c r="F6" s="233"/>
      <c r="G6" s="233"/>
      <c r="H6" s="242"/>
      <c r="I6" s="233"/>
      <c r="J6" s="243"/>
    </row>
    <row r="7" spans="1:18">
      <c r="D7" s="160"/>
      <c r="H7" s="217"/>
      <c r="J7" s="195"/>
    </row>
    <row r="8" spans="1:18" ht="38.25" customHeight="1">
      <c r="B8" s="244" t="s">
        <v>0</v>
      </c>
      <c r="C8" s="714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715"/>
      <c r="E8" s="715"/>
      <c r="F8" s="715"/>
      <c r="G8" s="715"/>
      <c r="H8" s="715"/>
      <c r="J8" s="195"/>
      <c r="R8" s="235"/>
    </row>
    <row r="9" spans="1:18">
      <c r="D9" s="160"/>
      <c r="H9" s="217"/>
      <c r="J9" s="195"/>
    </row>
    <row r="10" spans="1:18" ht="15.7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7"/>
      <c r="J10" s="195"/>
      <c r="K10" s="246"/>
      <c r="L10" s="247"/>
    </row>
    <row r="11" spans="1:18">
      <c r="D11" s="160"/>
      <c r="H11" s="217"/>
      <c r="J11" s="195"/>
    </row>
    <row r="12" spans="1:18">
      <c r="C12" s="248" t="str">
        <f>S105</f>
        <v xml:space="preserve">   ROE w/o incentives  (Projected TCOS, ln 148)</v>
      </c>
      <c r="D12" s="160"/>
      <c r="E12" s="249"/>
      <c r="F12" s="250">
        <v>0.112</v>
      </c>
      <c r="G12" s="251"/>
      <c r="H12" s="252"/>
      <c r="I12" s="253"/>
      <c r="J12" s="254"/>
      <c r="K12" s="253"/>
      <c r="L12" s="253"/>
      <c r="M12" s="253"/>
      <c r="N12" s="253"/>
      <c r="O12" s="249"/>
      <c r="P12" s="253"/>
      <c r="Q12" s="233"/>
    </row>
    <row r="13" spans="1:18">
      <c r="C13" s="248" t="s">
        <v>1</v>
      </c>
      <c r="D13" s="160"/>
      <c r="E13" s="249"/>
      <c r="F13" s="255">
        <f>+R106</f>
        <v>0</v>
      </c>
      <c r="G13" s="148" t="s">
        <v>152</v>
      </c>
      <c r="K13" s="253"/>
      <c r="L13" s="253"/>
      <c r="M13" s="253"/>
      <c r="N13" s="253"/>
      <c r="O13" s="249"/>
      <c r="P13" s="253"/>
      <c r="Q13" s="233"/>
    </row>
    <row r="14" spans="1:18" ht="13.5" thickBot="1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0.112</v>
      </c>
      <c r="G14" s="257" t="s">
        <v>2</v>
      </c>
      <c r="H14" s="253"/>
      <c r="I14" s="253"/>
      <c r="J14" s="254"/>
      <c r="K14" s="253"/>
      <c r="L14" s="253"/>
      <c r="M14" s="253"/>
      <c r="N14" s="253"/>
      <c r="O14" s="249"/>
      <c r="P14" s="253"/>
      <c r="Q14" s="233"/>
    </row>
    <row r="15" spans="1:18">
      <c r="C15" s="248" t="s">
        <v>231</v>
      </c>
      <c r="D15" s="160"/>
      <c r="E15" s="249"/>
      <c r="F15" s="256"/>
      <c r="G15" s="249"/>
      <c r="H15" s="253"/>
      <c r="I15" s="253"/>
      <c r="J15" s="254"/>
      <c r="K15" s="708" t="s">
        <v>3</v>
      </c>
      <c r="L15" s="709"/>
      <c r="M15" s="709"/>
      <c r="N15" s="709"/>
      <c r="O15" s="710"/>
      <c r="P15" s="253"/>
      <c r="Q15" s="233"/>
    </row>
    <row r="16" spans="1:18">
      <c r="C16" s="254"/>
      <c r="D16" s="258" t="s">
        <v>4</v>
      </c>
      <c r="E16" s="258" t="s">
        <v>5</v>
      </c>
      <c r="F16" s="259" t="s">
        <v>6</v>
      </c>
      <c r="G16" s="249"/>
      <c r="H16" s="253"/>
      <c r="I16" s="253"/>
      <c r="J16" s="254"/>
      <c r="K16" s="711"/>
      <c r="L16" s="712"/>
      <c r="M16" s="712"/>
      <c r="N16" s="712"/>
      <c r="O16" s="713"/>
      <c r="P16" s="253"/>
      <c r="Q16" s="233"/>
    </row>
    <row r="17" spans="3:17">
      <c r="C17" s="260" t="s">
        <v>7</v>
      </c>
      <c r="D17" s="261">
        <f>+R107</f>
        <v>0.46528590554198529</v>
      </c>
      <c r="E17" s="262">
        <f>+R108</f>
        <v>3.6100419315000257E-2</v>
      </c>
      <c r="F17" s="263">
        <f>E17*D17</f>
        <v>1.6797016291425271E-2</v>
      </c>
      <c r="G17" s="249"/>
      <c r="H17" s="253"/>
      <c r="I17" s="264"/>
      <c r="J17" s="265"/>
      <c r="K17" s="266"/>
      <c r="L17" s="267"/>
      <c r="M17" s="254" t="s">
        <v>8</v>
      </c>
      <c r="N17" s="254" t="s">
        <v>9</v>
      </c>
      <c r="O17" s="268" t="s">
        <v>10</v>
      </c>
      <c r="P17" s="253"/>
      <c r="Q17" s="233"/>
    </row>
    <row r="18" spans="3:17">
      <c r="C18" s="260" t="s">
        <v>11</v>
      </c>
      <c r="D18" s="261">
        <f>+R109</f>
        <v>0</v>
      </c>
      <c r="E18" s="262">
        <f>+R110</f>
        <v>0</v>
      </c>
      <c r="F18" s="263">
        <f>E18*D18</f>
        <v>0</v>
      </c>
      <c r="G18" s="269"/>
      <c r="H18" s="269"/>
      <c r="I18" s="270"/>
      <c r="J18" s="271"/>
      <c r="K18" s="272"/>
      <c r="L18" s="195"/>
      <c r="M18" s="195"/>
      <c r="N18" s="195"/>
      <c r="O18" s="273"/>
      <c r="P18" s="269"/>
      <c r="Q18" s="233"/>
    </row>
    <row r="19" spans="3:17" ht="13.5" thickBot="1">
      <c r="C19" s="274" t="s">
        <v>12</v>
      </c>
      <c r="D19" s="261">
        <f>+R111</f>
        <v>0.53471409445801488</v>
      </c>
      <c r="E19" s="262">
        <f>+F14</f>
        <v>0.112</v>
      </c>
      <c r="F19" s="275">
        <f>E19*D19</f>
        <v>5.9887978579297667E-2</v>
      </c>
      <c r="G19" s="269"/>
      <c r="H19" s="269"/>
      <c r="I19" s="256"/>
      <c r="J19" s="271"/>
      <c r="K19" s="276" t="s">
        <v>13</v>
      </c>
      <c r="L19" s="277">
        <f>R104</f>
        <v>2022</v>
      </c>
      <c r="M19" s="278">
        <f>SUM('P.001:P.xyz - blank'!N5)</f>
        <v>8173098.1037967186</v>
      </c>
      <c r="N19" s="278">
        <f>SUM('P.001:P.xyz - blank'!N6)</f>
        <v>8173098.1037967186</v>
      </c>
      <c r="O19" s="279">
        <f>+N19-M19</f>
        <v>0</v>
      </c>
      <c r="P19" s="270"/>
      <c r="Q19" s="233"/>
    </row>
    <row r="20" spans="3:17">
      <c r="C20" s="248"/>
      <c r="D20" s="249"/>
      <c r="E20" s="280" t="s">
        <v>14</v>
      </c>
      <c r="F20" s="263">
        <f>SUM(F17:F19)</f>
        <v>7.6684994870722945E-2</v>
      </c>
      <c r="G20" s="269"/>
      <c r="H20" s="269"/>
      <c r="I20" s="270"/>
      <c r="J20" s="271"/>
      <c r="M20" s="281" t="str">
        <f>IF(M19=SUM('P.001:P.xyz - blank'!N5),"","ERROR")</f>
        <v/>
      </c>
      <c r="N20" s="281" t="str">
        <f>IF(N19=SUM('P.001:P.xyz - blank'!N6),"","ERROR")</f>
        <v/>
      </c>
      <c r="O20" s="281" t="str">
        <f>IF(O19=SUM('P.001:P.xyz - blank'!N7),"","ERROR")</f>
        <v/>
      </c>
      <c r="P20" s="269"/>
      <c r="Q20" s="233"/>
    </row>
    <row r="21" spans="3:17">
      <c r="D21" s="282"/>
      <c r="E21" s="282"/>
      <c r="F21" s="269"/>
      <c r="G21" s="269"/>
      <c r="H21" s="269"/>
      <c r="I21" s="269"/>
      <c r="J21" s="283"/>
      <c r="K21" s="178" t="s">
        <v>15</v>
      </c>
      <c r="P21" s="269"/>
      <c r="Q21" s="233"/>
    </row>
    <row r="22" spans="3:17" ht="15.7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69"/>
      <c r="H22" s="249"/>
      <c r="I22" s="269"/>
      <c r="J22" s="283"/>
      <c r="K22" s="148" t="s">
        <v>16</v>
      </c>
      <c r="P22" s="269"/>
      <c r="Q22" s="233"/>
    </row>
    <row r="23" spans="3:17">
      <c r="C23" s="254"/>
      <c r="D23" s="282"/>
      <c r="E23" s="282"/>
      <c r="F23" s="283"/>
      <c r="G23" s="283"/>
      <c r="H23" s="283"/>
      <c r="I23" s="283"/>
      <c r="J23" s="283"/>
      <c r="K23" s="270"/>
      <c r="L23" s="285"/>
      <c r="M23" s="237"/>
      <c r="N23" s="270"/>
      <c r="O23" s="269"/>
      <c r="P23" s="283"/>
      <c r="Q23" s="243"/>
    </row>
    <row r="24" spans="3:17">
      <c r="C24" s="248" t="str">
        <f>+S112</f>
        <v xml:space="preserve">   Rate Base  (TCOS, ln 62)</v>
      </c>
      <c r="D24" s="249"/>
      <c r="E24" s="286">
        <f>+R112</f>
        <v>604335882.55089986</v>
      </c>
      <c r="F24" s="287"/>
      <c r="G24" s="283"/>
      <c r="H24" s="283"/>
      <c r="I24" s="283"/>
      <c r="J24" s="283"/>
      <c r="K24" s="283"/>
      <c r="L24" s="283"/>
      <c r="M24" s="283"/>
      <c r="N24" s="283"/>
      <c r="O24" s="283"/>
      <c r="P24" s="287"/>
      <c r="Q24" s="243"/>
    </row>
    <row r="25" spans="3:17">
      <c r="C25" s="254" t="s">
        <v>17</v>
      </c>
      <c r="D25" s="251"/>
      <c r="E25" s="288">
        <f>F20</f>
        <v>7.6684994870722945E-2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43"/>
    </row>
    <row r="26" spans="3:17">
      <c r="C26" s="289" t="s">
        <v>18</v>
      </c>
      <c r="D26" s="289"/>
      <c r="E26" s="270">
        <f>E24*E25</f>
        <v>46343494.05360958</v>
      </c>
      <c r="F26" s="283"/>
      <c r="G26" s="283"/>
      <c r="H26" s="283"/>
      <c r="I26" s="271"/>
      <c r="J26" s="271"/>
      <c r="K26" s="271"/>
      <c r="L26" s="271"/>
      <c r="M26" s="283"/>
      <c r="N26" s="271"/>
      <c r="O26" s="283"/>
      <c r="P26" s="283"/>
      <c r="Q26" s="243"/>
    </row>
    <row r="27" spans="3:17">
      <c r="C27" s="290"/>
      <c r="D27" s="253"/>
      <c r="E27" s="253"/>
      <c r="F27" s="283"/>
      <c r="G27" s="283"/>
      <c r="H27" s="283"/>
      <c r="I27" s="271"/>
      <c r="J27" s="271"/>
      <c r="K27" s="271"/>
      <c r="L27" s="271"/>
      <c r="M27" s="283"/>
      <c r="N27" s="271"/>
      <c r="O27" s="283"/>
      <c r="P27" s="283"/>
      <c r="Q27" s="243"/>
    </row>
    <row r="28" spans="3:17" ht="15.7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3"/>
      <c r="J28" s="293"/>
      <c r="K28" s="293"/>
      <c r="L28" s="293"/>
      <c r="M28" s="283"/>
      <c r="N28" s="293"/>
      <c r="O28" s="292"/>
      <c r="P28" s="292"/>
      <c r="Q28" s="243"/>
    </row>
    <row r="29" spans="3:17">
      <c r="C29" s="248"/>
      <c r="D29" s="253"/>
      <c r="E29" s="253"/>
      <c r="F29" s="283"/>
      <c r="G29" s="283"/>
      <c r="H29" s="283"/>
      <c r="I29" s="271"/>
      <c r="J29" s="271"/>
      <c r="K29" s="271"/>
      <c r="L29" s="271"/>
      <c r="M29" s="283"/>
      <c r="N29" s="271"/>
      <c r="O29" s="283"/>
      <c r="P29" s="283"/>
      <c r="Q29" s="243"/>
    </row>
    <row r="30" spans="3:17">
      <c r="C30" s="254" t="s">
        <v>19</v>
      </c>
      <c r="D30" s="280"/>
      <c r="E30" s="294">
        <f>E26</f>
        <v>46343494.05360958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43"/>
    </row>
    <row r="31" spans="3:17">
      <c r="C31" s="248" t="str">
        <f>+S113</f>
        <v xml:space="preserve">   Tax Rate  (TCOS, ln 97)</v>
      </c>
      <c r="D31" s="280"/>
      <c r="E31" s="295">
        <f>+R113</f>
        <v>0.24065199999999998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43"/>
    </row>
    <row r="32" spans="3:17">
      <c r="C32" s="254" t="s">
        <v>20</v>
      </c>
      <c r="D32" s="241"/>
      <c r="E32" s="256">
        <f>IF(F17&gt;0,($E31/(1-$E31))*(1-$F17/$F20),0)</f>
        <v>0.24750152743588913</v>
      </c>
      <c r="F32" s="233"/>
      <c r="G32" s="256"/>
      <c r="H32" s="242"/>
      <c r="I32" s="233"/>
      <c r="J32" s="243"/>
      <c r="K32" s="233"/>
      <c r="L32" s="233"/>
      <c r="M32" s="233"/>
      <c r="N32" s="233"/>
      <c r="O32" s="233"/>
      <c r="P32" s="233"/>
      <c r="Q32" s="233"/>
    </row>
    <row r="33" spans="2:19">
      <c r="C33" s="289" t="s">
        <v>21</v>
      </c>
      <c r="D33" s="296"/>
      <c r="E33" s="297">
        <f>E30*E32</f>
        <v>11470085.564984417</v>
      </c>
      <c r="F33" s="297"/>
      <c r="G33" s="233"/>
      <c r="H33" s="242"/>
      <c r="I33" s="233"/>
      <c r="J33" s="243"/>
      <c r="K33" s="233"/>
      <c r="L33" s="233"/>
      <c r="M33" s="233"/>
      <c r="N33" s="233"/>
      <c r="O33" s="233"/>
      <c r="P33" s="233"/>
      <c r="Q33" s="233"/>
    </row>
    <row r="34" spans="2:19" ht="15">
      <c r="C34" s="248" t="str">
        <f>+S114</f>
        <v xml:space="preserve">   ITC Adjustment  (TCOS, ln 106)</v>
      </c>
      <c r="D34" s="298"/>
      <c r="E34" s="299">
        <f>+R114</f>
        <v>-309556.88283684372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</row>
    <row r="35" spans="2:19" ht="15">
      <c r="C35" s="248" t="str">
        <f>+S115</f>
        <v xml:space="preserve">   Excess DFIT Adjustment  (TCOS, ln 107)</v>
      </c>
      <c r="D35" s="298"/>
      <c r="E35" s="299">
        <f>+R115</f>
        <v>-5050742.2565344656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</row>
    <row r="36" spans="2:19" ht="15">
      <c r="C36" s="248" t="str">
        <f>+S116</f>
        <v xml:space="preserve">   Tax Effect of Permanent and Flow Through Differences  (TCOS, ln 108)</v>
      </c>
      <c r="D36" s="298"/>
      <c r="E36" s="299">
        <f>+R116</f>
        <v>91995.52734714518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</row>
    <row r="37" spans="2:19" ht="15">
      <c r="C37" s="290" t="s">
        <v>22</v>
      </c>
      <c r="D37" s="298"/>
      <c r="E37" s="299">
        <f>E33+E34+E35+E36</f>
        <v>6201781.9529602537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33"/>
      <c r="S38" s="233"/>
    </row>
    <row r="39" spans="2:19" ht="18.75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33"/>
      <c r="S39" s="233"/>
    </row>
    <row r="40" spans="2:19" ht="15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3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33"/>
      <c r="S41" s="233"/>
    </row>
    <row r="42" spans="2:19" ht="15.75">
      <c r="C42" s="245" t="s">
        <v>24</v>
      </c>
      <c r="D42" s="298"/>
      <c r="E42" s="298"/>
      <c r="F42" s="305"/>
      <c r="G42" s="298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33"/>
      <c r="S42" s="233"/>
    </row>
    <row r="43" spans="2:19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33"/>
      <c r="S43" s="233"/>
    </row>
    <row r="44" spans="2:19" ht="12.75" customHeight="1">
      <c r="B44" s="233"/>
      <c r="C44" s="248" t="str">
        <f>+S117</f>
        <v xml:space="preserve">   Net Revenue Requirement  (TCOS, ln 115)</v>
      </c>
      <c r="D44" s="307"/>
      <c r="E44" s="307"/>
      <c r="F44" s="299">
        <f>+R117</f>
        <v>103217664.45847365</v>
      </c>
      <c r="G44" s="307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33"/>
      <c r="S44" s="233"/>
    </row>
    <row r="45" spans="2:19">
      <c r="B45" s="233"/>
      <c r="C45" s="248" t="str">
        <f>+S118</f>
        <v xml:space="preserve">   Return  (TCOS, ln 110)</v>
      </c>
      <c r="D45" s="307"/>
      <c r="E45" s="307"/>
      <c r="F45" s="308">
        <f>+R118</f>
        <v>44081465.654302746</v>
      </c>
      <c r="G45" s="309"/>
      <c r="H45" s="309"/>
      <c r="I45" s="309"/>
      <c r="J45" s="309"/>
      <c r="K45" s="309"/>
      <c r="L45" s="309"/>
      <c r="M45" s="309"/>
      <c r="N45" s="309"/>
      <c r="O45" s="309"/>
      <c r="P45" s="299"/>
      <c r="Q45" s="307"/>
      <c r="R45" s="233"/>
      <c r="S45" s="233"/>
    </row>
    <row r="46" spans="2:19">
      <c r="B46" s="233"/>
      <c r="C46" s="248" t="str">
        <f>+S119</f>
        <v xml:space="preserve">   Income Taxes  (TCOS, ln 109)</v>
      </c>
      <c r="D46" s="307"/>
      <c r="E46" s="307"/>
      <c r="F46" s="299">
        <f>+R119</f>
        <v>5484901.6051487243</v>
      </c>
      <c r="G46" s="307"/>
      <c r="H46" s="307"/>
      <c r="I46" s="310"/>
      <c r="J46" s="310"/>
      <c r="K46" s="310"/>
      <c r="L46" s="310"/>
      <c r="M46" s="310"/>
      <c r="N46" s="310"/>
      <c r="O46" s="307"/>
      <c r="P46" s="307"/>
      <c r="Q46" s="307"/>
      <c r="R46" s="233"/>
      <c r="S46" s="233"/>
    </row>
    <row r="47" spans="2:19">
      <c r="B47" s="233"/>
      <c r="C47" s="306" t="str">
        <f>+S120</f>
        <v xml:space="preserve">  Gross Margin Taxes  (TCOS, ln 114)</v>
      </c>
      <c r="D47" s="307"/>
      <c r="E47" s="307"/>
      <c r="F47" s="311">
        <f>+R120</f>
        <v>0</v>
      </c>
      <c r="G47" s="307"/>
      <c r="H47" s="307"/>
      <c r="I47" s="310"/>
      <c r="J47" s="310"/>
      <c r="K47" s="310"/>
      <c r="L47" s="310"/>
      <c r="M47" s="310"/>
      <c r="N47" s="310"/>
      <c r="O47" s="307"/>
      <c r="P47" s="307"/>
      <c r="Q47" s="307"/>
      <c r="R47" s="233"/>
      <c r="S47" s="233"/>
    </row>
    <row r="48" spans="2:19">
      <c r="B48" s="233"/>
      <c r="C48" s="312" t="s">
        <v>25</v>
      </c>
      <c r="D48" s="307"/>
      <c r="E48" s="307"/>
      <c r="F48" s="308">
        <f>F44-F45-F46-F47</f>
        <v>53651297.199022181</v>
      </c>
      <c r="G48" s="313"/>
      <c r="H48" s="307"/>
      <c r="I48" s="313"/>
      <c r="J48" s="313"/>
      <c r="K48" s="313"/>
      <c r="L48" s="313"/>
      <c r="M48" s="313"/>
      <c r="N48" s="313"/>
      <c r="O48" s="307"/>
      <c r="P48" s="313"/>
      <c r="Q48" s="307"/>
      <c r="R48" s="233"/>
      <c r="S48" s="233"/>
    </row>
    <row r="49" spans="2:19">
      <c r="B49" s="233"/>
      <c r="C49" s="306"/>
      <c r="D49" s="307"/>
      <c r="E49" s="307"/>
      <c r="F49" s="299"/>
      <c r="G49" s="314"/>
      <c r="H49" s="315"/>
      <c r="I49" s="315"/>
      <c r="J49" s="315"/>
      <c r="K49" s="315"/>
      <c r="L49" s="315"/>
      <c r="M49" s="315"/>
      <c r="N49" s="315"/>
      <c r="O49" s="316"/>
      <c r="P49" s="315"/>
      <c r="Q49" s="317"/>
      <c r="R49" s="233"/>
      <c r="S49" s="233"/>
    </row>
    <row r="50" spans="2:19" ht="15.7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314"/>
      <c r="H50" s="315"/>
      <c r="I50" s="315"/>
      <c r="J50" s="315"/>
      <c r="K50" s="315"/>
      <c r="L50" s="315"/>
      <c r="M50" s="315"/>
      <c r="N50" s="315"/>
      <c r="O50" s="316"/>
      <c r="P50" s="315"/>
      <c r="Q50" s="307"/>
    </row>
    <row r="51" spans="2:19">
      <c r="B51" s="233"/>
      <c r="C51" s="306"/>
      <c r="D51" s="316"/>
      <c r="E51" s="316"/>
      <c r="F51" s="299"/>
      <c r="G51" s="314"/>
      <c r="H51" s="315"/>
      <c r="I51" s="315"/>
      <c r="J51" s="315"/>
      <c r="K51" s="315"/>
      <c r="L51" s="315"/>
      <c r="M51" s="315"/>
      <c r="N51" s="315"/>
      <c r="O51" s="316"/>
      <c r="P51" s="315"/>
      <c r="Q51" s="307"/>
    </row>
    <row r="52" spans="2:19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53651297.199022181</v>
      </c>
      <c r="G52" s="307"/>
      <c r="H52" s="307"/>
      <c r="I52" s="307"/>
      <c r="J52" s="307"/>
      <c r="K52" s="307"/>
      <c r="L52" s="307"/>
      <c r="M52" s="307"/>
      <c r="N52" s="307"/>
      <c r="O52" s="318"/>
      <c r="P52" s="319"/>
      <c r="Q52" s="320"/>
    </row>
    <row r="53" spans="2:19">
      <c r="B53" s="233"/>
      <c r="C53" s="254" t="s">
        <v>103</v>
      </c>
      <c r="D53" s="321"/>
      <c r="E53" s="312"/>
      <c r="F53" s="322">
        <f>E26</f>
        <v>46343494.05360958</v>
      </c>
      <c r="G53" s="312"/>
      <c r="H53" s="323"/>
      <c r="I53" s="312"/>
      <c r="J53" s="312"/>
      <c r="K53" s="312"/>
      <c r="L53" s="312"/>
      <c r="M53" s="312"/>
      <c r="N53" s="312"/>
      <c r="O53" s="312"/>
      <c r="P53" s="312"/>
      <c r="Q53" s="312"/>
    </row>
    <row r="54" spans="2:19" ht="12.75" customHeight="1">
      <c r="B54" s="233"/>
      <c r="C54" s="248" t="s">
        <v>26</v>
      </c>
      <c r="D54" s="307"/>
      <c r="E54" s="307"/>
      <c r="F54" s="324">
        <f>E37</f>
        <v>6201781.9529602537</v>
      </c>
      <c r="G54" s="233"/>
      <c r="H54" s="242"/>
      <c r="I54" s="233"/>
      <c r="J54" s="243"/>
      <c r="K54" s="233"/>
      <c r="L54" s="233"/>
      <c r="M54" s="233"/>
      <c r="N54" s="233"/>
      <c r="O54" s="233"/>
      <c r="P54" s="233"/>
      <c r="Q54" s="233"/>
    </row>
    <row r="55" spans="2:19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106196573.20559201</v>
      </c>
      <c r="G55" s="233"/>
      <c r="H55" s="242"/>
      <c r="I55" s="233"/>
      <c r="J55" s="243"/>
      <c r="K55" s="233"/>
      <c r="L55" s="233"/>
      <c r="M55" s="233"/>
      <c r="N55" s="233"/>
      <c r="O55" s="233"/>
      <c r="P55" s="233"/>
      <c r="Q55" s="233"/>
      <c r="R55" s="233"/>
      <c r="S55" s="233"/>
    </row>
    <row r="56" spans="2:19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233"/>
      <c r="H56" s="242"/>
      <c r="I56" s="233"/>
      <c r="J56" s="24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2:19">
      <c r="B57" s="233"/>
      <c r="C57" s="312" t="s">
        <v>27</v>
      </c>
      <c r="D57" s="241"/>
      <c r="E57" s="233"/>
      <c r="F57" s="328">
        <f>+F55+F56</f>
        <v>106196573.20559201</v>
      </c>
      <c r="G57" s="233"/>
      <c r="H57" s="242"/>
      <c r="I57" s="233"/>
      <c r="J57" s="24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2:19">
      <c r="B58" s="233"/>
      <c r="C58" s="248" t="str">
        <f>+S121</f>
        <v xml:space="preserve">   Less: Depreciation  (TCOS, ln 84)</v>
      </c>
      <c r="D58" s="241"/>
      <c r="E58" s="233"/>
      <c r="F58" s="329">
        <f>+R121</f>
        <v>23139785.281025421</v>
      </c>
      <c r="G58" s="233"/>
      <c r="H58" s="242"/>
      <c r="I58" s="233"/>
      <c r="J58" s="243"/>
      <c r="K58" s="233"/>
      <c r="L58" s="233"/>
      <c r="M58" s="233"/>
      <c r="N58" s="233"/>
      <c r="O58" s="233"/>
      <c r="P58" s="233"/>
      <c r="Q58" s="233"/>
      <c r="R58" s="233"/>
      <c r="S58" s="233"/>
    </row>
    <row r="59" spans="2:19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83056787.924566582</v>
      </c>
      <c r="G59" s="233"/>
      <c r="H59" s="242"/>
      <c r="I59" s="233"/>
      <c r="J59" s="243"/>
      <c r="K59" s="233"/>
      <c r="L59" s="233"/>
      <c r="M59" s="233"/>
      <c r="N59" s="233"/>
      <c r="O59" s="233"/>
      <c r="P59" s="233"/>
      <c r="Q59" s="233"/>
      <c r="R59" s="233"/>
      <c r="S59" s="233"/>
    </row>
    <row r="60" spans="2:19">
      <c r="B60" s="233"/>
      <c r="C60" s="233"/>
      <c r="D60" s="241"/>
      <c r="E60" s="233"/>
      <c r="F60" s="233"/>
      <c r="G60" s="233"/>
      <c r="H60" s="242"/>
      <c r="I60" s="233"/>
      <c r="J60" s="243"/>
      <c r="K60" s="233"/>
      <c r="L60" s="233"/>
      <c r="M60" s="233"/>
      <c r="N60" s="233"/>
      <c r="O60" s="233"/>
      <c r="P60" s="233"/>
      <c r="Q60" s="233"/>
      <c r="R60" s="233"/>
      <c r="S60" s="233"/>
    </row>
    <row r="61" spans="2:19" ht="15.75">
      <c r="B61" s="330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0"/>
      <c r="H61" s="334"/>
      <c r="I61" s="330"/>
      <c r="J61" s="243"/>
      <c r="K61" s="233"/>
      <c r="L61" s="233"/>
      <c r="M61" s="233"/>
      <c r="N61" s="233"/>
      <c r="O61" s="233"/>
      <c r="P61" s="233"/>
      <c r="Q61" s="233"/>
      <c r="R61" s="233"/>
      <c r="S61" s="233"/>
    </row>
    <row r="62" spans="2:19">
      <c r="B62" s="330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106196573.20559201</v>
      </c>
      <c r="G62" s="330"/>
      <c r="H62" s="334"/>
      <c r="I62" s="330"/>
      <c r="J62" s="24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>
      <c r="B63" s="330"/>
      <c r="C63" s="325" t="s">
        <v>28</v>
      </c>
      <c r="D63" s="332"/>
      <c r="E63" s="332"/>
      <c r="F63" s="333"/>
      <c r="G63" s="330"/>
      <c r="H63" s="334"/>
      <c r="I63" s="330"/>
      <c r="J63" s="24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>
      <c r="B64" s="330"/>
      <c r="C64" s="312" t="str">
        <f>+S122</f>
        <v xml:space="preserve">       Apportionment Factor to Texas (Worksheet K, ln 12)</v>
      </c>
      <c r="D64" s="296"/>
      <c r="E64" s="330"/>
      <c r="F64" s="335">
        <f>+R122</f>
        <v>0</v>
      </c>
      <c r="G64" s="330"/>
      <c r="H64" s="334"/>
      <c r="I64" s="330"/>
      <c r="J64" s="24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>
      <c r="B65" s="330"/>
      <c r="C65" s="312" t="s">
        <v>29</v>
      </c>
      <c r="D65" s="296"/>
      <c r="E65" s="330"/>
      <c r="F65" s="333">
        <f>+F62*F64</f>
        <v>0</v>
      </c>
      <c r="G65" s="330"/>
      <c r="H65" s="334"/>
      <c r="I65" s="330"/>
      <c r="J65" s="24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>
      <c r="B66" s="330"/>
      <c r="C66" s="312" t="s">
        <v>285</v>
      </c>
      <c r="D66" s="296"/>
      <c r="E66" s="330"/>
      <c r="F66" s="336">
        <v>0.22</v>
      </c>
      <c r="G66" s="330"/>
      <c r="H66" s="334"/>
      <c r="I66" s="330"/>
      <c r="J66" s="24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>
      <c r="B67" s="330"/>
      <c r="C67" s="312" t="s">
        <v>30</v>
      </c>
      <c r="D67" s="296"/>
      <c r="E67" s="330"/>
      <c r="F67" s="333">
        <f>+F65*F66</f>
        <v>0</v>
      </c>
      <c r="G67" s="330"/>
      <c r="H67" s="334"/>
      <c r="I67" s="330"/>
      <c r="J67" s="24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>
      <c r="B68" s="330"/>
      <c r="C68" s="312" t="s">
        <v>31</v>
      </c>
      <c r="D68" s="296"/>
      <c r="E68" s="330"/>
      <c r="F68" s="336">
        <v>0.01</v>
      </c>
      <c r="G68" s="330"/>
      <c r="H68" s="334"/>
      <c r="I68" s="330"/>
      <c r="J68" s="24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>
      <c r="B69" s="330"/>
      <c r="C69" s="312" t="s">
        <v>32</v>
      </c>
      <c r="D69" s="296"/>
      <c r="E69" s="330"/>
      <c r="F69" s="333">
        <f>+F67*F68</f>
        <v>0</v>
      </c>
      <c r="G69" s="330"/>
      <c r="H69" s="334"/>
      <c r="I69" s="330"/>
      <c r="J69" s="24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>
      <c r="B70" s="330"/>
      <c r="C70" s="312" t="s">
        <v>33</v>
      </c>
      <c r="D70" s="296"/>
      <c r="E70" s="330"/>
      <c r="F70" s="337">
        <f>+ROUND((F69*F66*F64)/(1-F68)*F68,0)</f>
        <v>0</v>
      </c>
      <c r="G70" s="330"/>
      <c r="H70" s="334"/>
      <c r="I70" s="330"/>
      <c r="J70" s="24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>
      <c r="B71" s="330"/>
      <c r="C71" s="312" t="s">
        <v>34</v>
      </c>
      <c r="D71" s="296"/>
      <c r="E71" s="330"/>
      <c r="F71" s="333">
        <f>+F69+F70</f>
        <v>0</v>
      </c>
      <c r="G71" s="330"/>
      <c r="H71" s="334"/>
      <c r="I71" s="330"/>
      <c r="J71" s="24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>
      <c r="B72" s="233"/>
      <c r="C72" s="233"/>
      <c r="D72" s="241"/>
      <c r="E72" s="233"/>
      <c r="F72" s="233"/>
      <c r="G72" s="233"/>
      <c r="H72" s="242"/>
      <c r="I72" s="233"/>
      <c r="J72" s="24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ht="15.7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42"/>
      <c r="I73" s="233"/>
      <c r="J73" s="24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>
      <c r="B74" s="233"/>
      <c r="C74" s="233"/>
      <c r="D74" s="241"/>
      <c r="E74" s="233"/>
      <c r="F74" s="233"/>
      <c r="G74" s="233"/>
      <c r="H74" s="242"/>
      <c r="I74" s="233"/>
      <c r="J74" s="24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>
      <c r="B75" s="233"/>
      <c r="C75" s="248" t="str">
        <f>+S123</f>
        <v xml:space="preserve">   Net Transmission Plant  (TCOS, ln 37)</v>
      </c>
      <c r="D75" s="241"/>
      <c r="E75" s="233"/>
      <c r="F75" s="297">
        <f>+R123</f>
        <v>742759983.69051278</v>
      </c>
      <c r="G75" s="246"/>
      <c r="H75" s="217"/>
      <c r="J75" s="195"/>
      <c r="P75" s="233"/>
      <c r="Q75" s="233"/>
      <c r="R75" s="233"/>
      <c r="S75" s="233"/>
    </row>
    <row r="76" spans="2:19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338">
        <f>F55</f>
        <v>106196573.20559201</v>
      </c>
      <c r="H76" s="217"/>
      <c r="J76" s="195"/>
      <c r="P76" s="233"/>
      <c r="Q76" s="233"/>
      <c r="R76" s="233"/>
      <c r="S76" s="233"/>
    </row>
    <row r="77" spans="2:19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0.14297562542066231</v>
      </c>
      <c r="H77" s="217"/>
      <c r="J77" s="195"/>
      <c r="P77" s="233"/>
      <c r="Q77" s="233"/>
      <c r="R77" s="233"/>
      <c r="S77" s="233"/>
    </row>
    <row r="78" spans="2:19">
      <c r="B78" s="233"/>
      <c r="D78" s="241"/>
      <c r="E78" s="233"/>
      <c r="F78" s="330"/>
      <c r="H78" s="217"/>
      <c r="J78" s="195"/>
      <c r="P78" s="233"/>
      <c r="Q78" s="233"/>
      <c r="R78" s="233"/>
      <c r="S78" s="233"/>
    </row>
    <row r="79" spans="2:19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F59</f>
        <v>83056787.924566582</v>
      </c>
      <c r="G79" s="246"/>
      <c r="H79" s="217"/>
      <c r="J79" s="195"/>
      <c r="P79" s="233"/>
      <c r="Q79" s="233"/>
      <c r="R79" s="233"/>
      <c r="S79" s="233"/>
    </row>
    <row r="80" spans="2:19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0.11182183982487405</v>
      </c>
      <c r="G80" s="339"/>
      <c r="H80" s="217"/>
      <c r="J80" s="195"/>
      <c r="P80" s="233"/>
      <c r="Q80" s="233"/>
      <c r="R80" s="233"/>
      <c r="S80" s="233"/>
    </row>
    <row r="81" spans="2:19">
      <c r="B81" s="233"/>
      <c r="C81" s="248" t="str">
        <f>+S124</f>
        <v xml:space="preserve">   FCR less Depreciation  (Projected TCOS, ln 12)</v>
      </c>
      <c r="D81" s="241"/>
      <c r="E81" s="233"/>
      <c r="F81" s="340">
        <f>+R124</f>
        <v>0.10781124580725182</v>
      </c>
      <c r="H81" s="217"/>
      <c r="J81" s="195"/>
      <c r="P81" s="233"/>
      <c r="Q81" s="233"/>
      <c r="R81" s="233"/>
      <c r="S81" s="233"/>
    </row>
    <row r="82" spans="2:19">
      <c r="B82" s="233"/>
      <c r="C82" s="716" t="str">
        <f>"   Incremental FCR with "&amp;F13&amp;" Basis Point ROE increase, less Depreciation"</f>
        <v xml:space="preserve">   Incremental FCR with 0 Basis Point ROE increase, less Depreciation</v>
      </c>
      <c r="D82" s="717"/>
      <c r="E82" s="717"/>
      <c r="F82" s="339">
        <f>F80-F81</f>
        <v>4.0105940176222293E-3</v>
      </c>
      <c r="H82" s="217"/>
      <c r="J82" s="195"/>
      <c r="P82" s="233"/>
      <c r="Q82" s="233"/>
      <c r="R82" s="233"/>
      <c r="S82" s="233"/>
    </row>
    <row r="83" spans="2:19">
      <c r="B83" s="233"/>
      <c r="C83" s="717"/>
      <c r="D83" s="717"/>
      <c r="E83" s="717"/>
      <c r="F83" s="339"/>
      <c r="G83" s="233"/>
      <c r="H83" s="242"/>
      <c r="I83" s="233"/>
      <c r="J83" s="24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ht="18.75">
      <c r="B84" s="303" t="s">
        <v>35</v>
      </c>
      <c r="C84" s="304" t="s">
        <v>36</v>
      </c>
      <c r="D84" s="241"/>
      <c r="E84" s="233"/>
      <c r="F84" s="339"/>
      <c r="G84" s="233"/>
      <c r="H84" s="242"/>
      <c r="I84" s="233"/>
      <c r="J84" s="24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ht="12.75" customHeight="1">
      <c r="B85" s="303"/>
      <c r="C85" s="304"/>
      <c r="D85" s="241"/>
      <c r="E85" s="233"/>
      <c r="F85" s="339"/>
      <c r="G85" s="233"/>
      <c r="H85" s="242"/>
      <c r="I85" s="233"/>
      <c r="J85" s="24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ht="12.75" customHeight="1">
      <c r="B86" s="303"/>
      <c r="C86" s="312" t="s">
        <v>37</v>
      </c>
      <c r="D86" s="241"/>
      <c r="F86" s="334">
        <f>+R125</f>
        <v>1120419325.7307799</v>
      </c>
      <c r="G86" s="233" t="s">
        <v>280</v>
      </c>
      <c r="H86" s="242"/>
      <c r="I86" s="233"/>
      <c r="J86" s="24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ht="12.75" customHeight="1">
      <c r="B87" s="303"/>
      <c r="C87" s="312" t="s">
        <v>38</v>
      </c>
      <c r="D87" s="241"/>
      <c r="F87" s="341">
        <f>R126</f>
        <v>1187983423.1752901</v>
      </c>
      <c r="G87" s="233" t="s">
        <v>280</v>
      </c>
      <c r="H87" s="242"/>
      <c r="I87" s="233"/>
      <c r="J87" s="24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>
      <c r="B88" s="233"/>
      <c r="C88" s="312"/>
      <c r="D88" s="241"/>
      <c r="F88" s="242">
        <f>+F87+F86</f>
        <v>2308402748.9060698</v>
      </c>
      <c r="G88" s="297"/>
      <c r="H88" s="242"/>
      <c r="I88" s="233"/>
      <c r="J88" s="24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>
      <c r="B89" s="233"/>
      <c r="C89" s="312" t="str">
        <f>S127</f>
        <v>Transmission Plant Average Balance for 2020</v>
      </c>
      <c r="D89" s="296"/>
      <c r="E89" s="155"/>
      <c r="F89" s="323">
        <f>+F88/2</f>
        <v>1154201374.4530349</v>
      </c>
      <c r="G89" s="342"/>
      <c r="H89" s="242"/>
      <c r="I89" s="233"/>
      <c r="J89" s="24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>
      <c r="B90" s="233"/>
      <c r="C90" s="248" t="str">
        <f>S128</f>
        <v>Annual Depreciation Expense  (Historic TCOS, ln 244)</v>
      </c>
      <c r="D90" s="296"/>
      <c r="E90" s="330"/>
      <c r="F90" s="323">
        <f>R128</f>
        <v>27316908.915958099</v>
      </c>
      <c r="G90" s="233"/>
      <c r="H90" s="242"/>
      <c r="I90" s="233"/>
      <c r="J90" s="24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>
      <c r="B91" s="233"/>
      <c r="C91" s="312" t="s">
        <v>39</v>
      </c>
      <c r="D91" s="241"/>
      <c r="E91" s="233"/>
      <c r="F91" s="339">
        <f>IF(F89=0,0,F90/F89)</f>
        <v>2.3667368208518488E-2</v>
      </c>
      <c r="G91" s="233"/>
      <c r="H91" s="343"/>
      <c r="I91" s="233"/>
      <c r="J91" s="24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>
      <c r="B92" s="233"/>
      <c r="C92" s="312" t="s">
        <v>40</v>
      </c>
      <c r="D92" s="241"/>
      <c r="E92" s="233"/>
      <c r="F92" s="344">
        <f>IF(F91=0,0,1/F91)</f>
        <v>42.252268659093012</v>
      </c>
      <c r="H92" s="242"/>
      <c r="I92" s="233"/>
      <c r="J92" s="24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>
      <c r="B93" s="233"/>
      <c r="C93" s="312" t="s">
        <v>41</v>
      </c>
      <c r="D93" s="241"/>
      <c r="E93" s="233"/>
      <c r="F93" s="345">
        <f>ROUND(F92,0)</f>
        <v>42</v>
      </c>
      <c r="G93" s="233"/>
      <c r="H93" s="242"/>
      <c r="I93" s="233"/>
      <c r="J93" s="24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>
      <c r="C94" s="346"/>
      <c r="D94" s="347"/>
      <c r="E94" s="347"/>
      <c r="F94" s="347"/>
      <c r="G94" s="348"/>
      <c r="H94" s="348"/>
      <c r="I94" s="349"/>
      <c r="J94" s="349"/>
      <c r="K94" s="349"/>
      <c r="L94" s="349"/>
      <c r="M94" s="349"/>
      <c r="N94" s="349"/>
      <c r="O94" s="243"/>
      <c r="P94" s="243"/>
      <c r="Q94" s="233"/>
      <c r="R94" s="233"/>
      <c r="S94" s="233"/>
    </row>
    <row r="95" spans="2:19">
      <c r="C95" s="346"/>
      <c r="D95" s="347"/>
      <c r="E95" s="347"/>
      <c r="F95" s="347"/>
      <c r="G95" s="348"/>
      <c r="H95" s="348"/>
      <c r="I95" s="349"/>
      <c r="J95" s="349"/>
      <c r="K95" s="349"/>
      <c r="L95" s="349"/>
      <c r="M95" s="349"/>
      <c r="N95" s="349"/>
      <c r="O95" s="243"/>
      <c r="P95" s="243"/>
      <c r="Q95" s="233"/>
      <c r="R95" s="233"/>
      <c r="S95" s="233"/>
    </row>
    <row r="96" spans="2:19">
      <c r="J96" s="195"/>
      <c r="P96" s="233"/>
      <c r="Q96" s="233"/>
      <c r="R96" s="233"/>
      <c r="S96" s="233"/>
    </row>
    <row r="97" spans="3:19">
      <c r="J97" s="195"/>
      <c r="P97" s="233"/>
      <c r="Q97" s="233"/>
      <c r="R97" s="350" t="s">
        <v>126</v>
      </c>
      <c r="S97" s="148" t="s">
        <v>127</v>
      </c>
    </row>
    <row r="98" spans="3:19">
      <c r="J98" s="195"/>
      <c r="P98" s="233"/>
      <c r="Q98" s="233"/>
    </row>
    <row r="99" spans="3:19">
      <c r="C99" s="240" t="s">
        <v>122</v>
      </c>
      <c r="J99" s="195"/>
      <c r="L99" s="240" t="s">
        <v>121</v>
      </c>
      <c r="P99" s="233"/>
      <c r="Q99" s="233"/>
    </row>
    <row r="100" spans="3:19">
      <c r="J100" s="195"/>
      <c r="P100" s="233"/>
      <c r="Q100" s="233"/>
      <c r="S100" s="234" t="s">
        <v>119</v>
      </c>
    </row>
    <row r="101" spans="3:19">
      <c r="J101" s="195"/>
      <c r="P101" s="233"/>
      <c r="Q101" s="233"/>
      <c r="R101" s="350" t="s">
        <v>115</v>
      </c>
      <c r="S101" s="204" t="s">
        <v>120</v>
      </c>
    </row>
    <row r="102" spans="3:19" ht="13.5" thickBot="1">
      <c r="J102" s="195"/>
      <c r="P102" s="233"/>
      <c r="Q102" s="233"/>
      <c r="R102" s="351" t="s">
        <v>142</v>
      </c>
    </row>
    <row r="103" spans="3:19">
      <c r="J103" s="195"/>
      <c r="P103" s="233"/>
      <c r="Q103" s="233"/>
      <c r="R103" s="352" t="s">
        <v>286</v>
      </c>
      <c r="S103" s="353" t="s">
        <v>143</v>
      </c>
    </row>
    <row r="104" spans="3:19">
      <c r="J104" s="195"/>
      <c r="P104" s="233"/>
      <c r="Q104" s="233"/>
      <c r="R104" s="354">
        <v>2022</v>
      </c>
      <c r="S104" s="355" t="s">
        <v>13</v>
      </c>
    </row>
    <row r="105" spans="3:19">
      <c r="J105" s="195"/>
      <c r="P105" s="233"/>
      <c r="Q105" s="233"/>
      <c r="R105" s="356">
        <v>0.105</v>
      </c>
      <c r="S105" s="355" t="s">
        <v>309</v>
      </c>
    </row>
    <row r="106" spans="3:19">
      <c r="J106" s="195"/>
      <c r="P106" s="233"/>
      <c r="Q106" s="233"/>
      <c r="R106" s="357">
        <v>0</v>
      </c>
      <c r="S106" s="355" t="s">
        <v>1</v>
      </c>
    </row>
    <row r="107" spans="3:19">
      <c r="J107" s="195"/>
      <c r="P107" s="233"/>
      <c r="Q107" s="233"/>
      <c r="R107" s="358">
        <v>0.46528590554198529</v>
      </c>
      <c r="S107" s="359" t="s">
        <v>109</v>
      </c>
    </row>
    <row r="108" spans="3:19">
      <c r="J108" s="195"/>
      <c r="P108" s="233"/>
      <c r="Q108" s="233"/>
      <c r="R108" s="358">
        <v>3.6100419315000257E-2</v>
      </c>
      <c r="S108" s="359" t="s">
        <v>110</v>
      </c>
    </row>
    <row r="109" spans="3:19">
      <c r="J109" s="195"/>
      <c r="P109" s="233"/>
      <c r="Q109" s="233"/>
      <c r="R109" s="358">
        <v>0</v>
      </c>
      <c r="S109" s="359" t="s">
        <v>111</v>
      </c>
    </row>
    <row r="110" spans="3:19">
      <c r="J110" s="195"/>
      <c r="P110" s="233"/>
      <c r="Q110" s="233"/>
      <c r="R110" s="358">
        <v>0</v>
      </c>
      <c r="S110" s="359" t="s">
        <v>112</v>
      </c>
    </row>
    <row r="111" spans="3:19">
      <c r="J111" s="195"/>
      <c r="P111" s="233"/>
      <c r="Q111" s="233"/>
      <c r="R111" s="358">
        <v>0.53471409445801488</v>
      </c>
      <c r="S111" s="360" t="s">
        <v>113</v>
      </c>
    </row>
    <row r="112" spans="3:19">
      <c r="J112" s="195"/>
      <c r="P112" s="233"/>
      <c r="Q112" s="233"/>
      <c r="R112" s="361">
        <v>604335882.55089986</v>
      </c>
      <c r="S112" s="362" t="s">
        <v>316</v>
      </c>
    </row>
    <row r="113" spans="3:19">
      <c r="J113" s="195"/>
      <c r="P113" s="233"/>
      <c r="Q113" s="233"/>
      <c r="R113" s="363">
        <v>0.24065199999999998</v>
      </c>
      <c r="S113" s="364" t="s">
        <v>317</v>
      </c>
    </row>
    <row r="114" spans="3:19">
      <c r="J114" s="195"/>
      <c r="P114" s="233"/>
      <c r="Q114" s="233"/>
      <c r="R114" s="361">
        <v>-309556.88283684372</v>
      </c>
      <c r="S114" s="364" t="s">
        <v>318</v>
      </c>
    </row>
    <row r="115" spans="3:19">
      <c r="J115" s="195"/>
      <c r="P115" s="233"/>
      <c r="Q115" s="233"/>
      <c r="R115" s="361">
        <v>-5050742.2565344656</v>
      </c>
      <c r="S115" s="364" t="s">
        <v>319</v>
      </c>
    </row>
    <row r="116" spans="3:19">
      <c r="J116" s="195"/>
      <c r="P116" s="233"/>
      <c r="Q116" s="233"/>
      <c r="R116" s="361">
        <v>91995.52734714518</v>
      </c>
      <c r="S116" s="364" t="s">
        <v>320</v>
      </c>
    </row>
    <row r="117" spans="3:19">
      <c r="C117" s="233"/>
      <c r="D117" s="241"/>
      <c r="E117" s="233"/>
      <c r="F117" s="233"/>
      <c r="G117" s="233"/>
      <c r="H117" s="242"/>
      <c r="I117" s="233"/>
      <c r="J117" s="243"/>
      <c r="K117" s="233"/>
      <c r="L117" s="233"/>
      <c r="M117" s="233"/>
      <c r="N117" s="233"/>
      <c r="O117" s="233"/>
      <c r="P117" s="233"/>
      <c r="Q117" s="233"/>
      <c r="R117" s="361">
        <v>103217664.45847365</v>
      </c>
      <c r="S117" s="364" t="s">
        <v>321</v>
      </c>
    </row>
    <row r="118" spans="3:19">
      <c r="C118" s="233"/>
      <c r="D118" s="241"/>
      <c r="E118" s="233"/>
      <c r="F118" s="233"/>
      <c r="G118" s="233"/>
      <c r="H118" s="242"/>
      <c r="I118" s="233"/>
      <c r="J118" s="243"/>
      <c r="K118" s="233"/>
      <c r="L118" s="233"/>
      <c r="M118" s="233"/>
      <c r="N118" s="233"/>
      <c r="O118" s="233"/>
      <c r="P118" s="233"/>
      <c r="Q118" s="233"/>
      <c r="R118" s="361">
        <v>44081465.654302746</v>
      </c>
      <c r="S118" s="364" t="s">
        <v>322</v>
      </c>
    </row>
    <row r="119" spans="3:19">
      <c r="C119" s="233"/>
      <c r="D119" s="241"/>
      <c r="E119" s="233"/>
      <c r="F119" s="233"/>
      <c r="G119" s="233"/>
      <c r="H119" s="242"/>
      <c r="I119" s="233"/>
      <c r="J119" s="243"/>
      <c r="K119" s="233"/>
      <c r="L119" s="233"/>
      <c r="M119" s="233"/>
      <c r="N119" s="233"/>
      <c r="O119" s="233"/>
      <c r="P119" s="233"/>
      <c r="Q119" s="233"/>
      <c r="R119" s="361">
        <v>5484901.6051487243</v>
      </c>
      <c r="S119" s="364" t="s">
        <v>323</v>
      </c>
    </row>
    <row r="120" spans="3:19">
      <c r="C120" s="233"/>
      <c r="D120" s="241"/>
      <c r="E120" s="233"/>
      <c r="F120" s="233"/>
      <c r="G120" s="233"/>
      <c r="H120" s="242"/>
      <c r="I120" s="233"/>
      <c r="J120" s="243"/>
      <c r="K120" s="233"/>
      <c r="L120" s="233"/>
      <c r="M120" s="233"/>
      <c r="N120" s="233"/>
      <c r="O120" s="233"/>
      <c r="P120" s="233"/>
      <c r="Q120" s="233"/>
      <c r="R120" s="361">
        <v>0</v>
      </c>
      <c r="S120" s="364" t="s">
        <v>324</v>
      </c>
    </row>
    <row r="121" spans="3:19">
      <c r="C121" s="233"/>
      <c r="D121" s="241"/>
      <c r="E121" s="233"/>
      <c r="F121" s="233"/>
      <c r="G121" s="233"/>
      <c r="H121" s="242"/>
      <c r="I121" s="233"/>
      <c r="J121" s="243"/>
      <c r="K121" s="233"/>
      <c r="L121" s="233"/>
      <c r="M121" s="233"/>
      <c r="N121" s="233"/>
      <c r="O121" s="233"/>
      <c r="P121" s="233"/>
      <c r="Q121" s="233"/>
      <c r="R121" s="361">
        <v>23139785.281025421</v>
      </c>
      <c r="S121" s="364" t="s">
        <v>325</v>
      </c>
    </row>
    <row r="122" spans="3:19">
      <c r="C122" s="233"/>
      <c r="D122" s="241"/>
      <c r="E122" s="233"/>
      <c r="F122" s="233"/>
      <c r="G122" s="233"/>
      <c r="H122" s="242"/>
      <c r="I122" s="233"/>
      <c r="J122" s="243"/>
      <c r="K122" s="233"/>
      <c r="L122" s="233"/>
      <c r="M122" s="233"/>
      <c r="N122" s="233"/>
      <c r="O122" s="233"/>
      <c r="P122" s="233"/>
      <c r="Q122" s="233"/>
      <c r="R122" s="363">
        <v>0</v>
      </c>
      <c r="S122" s="364" t="s">
        <v>118</v>
      </c>
    </row>
    <row r="123" spans="3:19">
      <c r="C123" s="233"/>
      <c r="D123" s="241"/>
      <c r="E123" s="233"/>
      <c r="F123" s="233"/>
      <c r="G123" s="233"/>
      <c r="H123" s="242"/>
      <c r="I123" s="233"/>
      <c r="J123" s="243"/>
      <c r="K123" s="233"/>
      <c r="L123" s="233"/>
      <c r="M123" s="233"/>
      <c r="N123" s="233"/>
      <c r="O123" s="233"/>
      <c r="P123" s="233"/>
      <c r="Q123" s="233"/>
      <c r="R123" s="361">
        <v>742759983.69051278</v>
      </c>
      <c r="S123" s="364" t="s">
        <v>326</v>
      </c>
    </row>
    <row r="124" spans="3:19">
      <c r="C124" s="233"/>
      <c r="D124" s="241"/>
      <c r="E124" s="233"/>
      <c r="F124" s="233"/>
      <c r="G124" s="233"/>
      <c r="H124" s="242"/>
      <c r="I124" s="233"/>
      <c r="J124" s="243"/>
      <c r="K124" s="233"/>
      <c r="L124" s="233"/>
      <c r="M124" s="233"/>
      <c r="N124" s="233"/>
      <c r="O124" s="233"/>
      <c r="P124" s="233"/>
      <c r="Q124" s="233"/>
      <c r="R124" s="365">
        <v>0.10781124580725182</v>
      </c>
      <c r="S124" s="366" t="s">
        <v>287</v>
      </c>
    </row>
    <row r="125" spans="3:19">
      <c r="C125" s="233"/>
      <c r="D125" s="241"/>
      <c r="E125" s="233"/>
      <c r="F125" s="233"/>
      <c r="G125" s="233"/>
      <c r="H125" s="242"/>
      <c r="I125" s="233"/>
      <c r="J125" s="243"/>
      <c r="K125" s="233"/>
      <c r="L125" s="233"/>
      <c r="M125" s="233"/>
      <c r="N125" s="233"/>
      <c r="O125" s="233"/>
      <c r="P125" s="233"/>
      <c r="Q125" s="233"/>
      <c r="R125" s="631">
        <v>1120419325.7307799</v>
      </c>
      <c r="S125" s="359" t="s">
        <v>37</v>
      </c>
    </row>
    <row r="126" spans="3:19">
      <c r="C126" s="233"/>
      <c r="D126" s="241"/>
      <c r="E126" s="233"/>
      <c r="F126" s="233"/>
      <c r="G126" s="233"/>
      <c r="H126" s="242"/>
      <c r="I126" s="233"/>
      <c r="J126" s="243"/>
      <c r="K126" s="233"/>
      <c r="L126" s="233"/>
      <c r="M126" s="233"/>
      <c r="N126" s="233"/>
      <c r="O126" s="233"/>
      <c r="P126" s="233"/>
      <c r="Q126" s="233"/>
      <c r="R126" s="367">
        <v>1187983423.1752901</v>
      </c>
      <c r="S126" s="360" t="s">
        <v>38</v>
      </c>
    </row>
    <row r="127" spans="3:19">
      <c r="C127" s="233"/>
      <c r="D127" s="241"/>
      <c r="E127" s="233"/>
      <c r="F127" s="233"/>
      <c r="G127" s="233"/>
      <c r="H127" s="242"/>
      <c r="I127" s="233"/>
      <c r="J127" s="243"/>
      <c r="K127" s="233"/>
      <c r="L127" s="233"/>
      <c r="M127" s="233"/>
      <c r="N127" s="233"/>
      <c r="O127" s="233"/>
      <c r="P127" s="233"/>
      <c r="Q127" s="233"/>
      <c r="R127" s="367">
        <v>1139258524.5219979</v>
      </c>
      <c r="S127" s="368" t="s">
        <v>335</v>
      </c>
    </row>
    <row r="128" spans="3:19" ht="13.5" thickBot="1">
      <c r="C128" s="233"/>
      <c r="D128" s="241"/>
      <c r="E128" s="233"/>
      <c r="F128" s="233"/>
      <c r="G128" s="233"/>
      <c r="H128" s="242"/>
      <c r="I128" s="233"/>
      <c r="J128" s="243"/>
      <c r="K128" s="233"/>
      <c r="L128" s="233"/>
      <c r="M128" s="233"/>
      <c r="N128" s="233"/>
      <c r="O128" s="233"/>
      <c r="P128" s="233"/>
      <c r="Q128" s="233"/>
      <c r="R128" s="369">
        <v>27316908.915958099</v>
      </c>
      <c r="S128" s="370" t="s">
        <v>310</v>
      </c>
    </row>
    <row r="129" spans="3:19">
      <c r="C129" s="233"/>
      <c r="D129" s="241"/>
      <c r="E129" s="233"/>
      <c r="F129" s="233"/>
      <c r="G129" s="233"/>
      <c r="H129" s="242"/>
      <c r="I129" s="233"/>
      <c r="J129" s="24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3:19">
      <c r="C130" s="233"/>
      <c r="D130" s="241"/>
      <c r="E130" s="233"/>
      <c r="F130" s="233"/>
      <c r="G130" s="233"/>
      <c r="H130" s="242"/>
      <c r="I130" s="233"/>
      <c r="J130" s="243"/>
      <c r="K130" s="233"/>
      <c r="L130" s="233"/>
      <c r="M130" s="233"/>
      <c r="N130" s="233"/>
      <c r="O130" s="233"/>
      <c r="P130" s="233"/>
      <c r="Q130" s="233"/>
      <c r="R130" s="350" t="s">
        <v>116</v>
      </c>
      <c r="S130" s="233" t="s">
        <v>130</v>
      </c>
    </row>
    <row r="131" spans="3:19" ht="13.5" thickBot="1">
      <c r="C131" s="312"/>
      <c r="D131" s="321"/>
      <c r="E131" s="312"/>
      <c r="F131" s="312"/>
      <c r="G131" s="312"/>
      <c r="H131" s="323"/>
      <c r="I131" s="233"/>
      <c r="J131" s="243"/>
      <c r="K131" s="233"/>
      <c r="L131" s="233"/>
      <c r="M131" s="233"/>
      <c r="N131" s="233"/>
      <c r="O131" s="233"/>
      <c r="P131" s="233"/>
      <c r="Q131" s="233"/>
      <c r="R131" s="351" t="s">
        <v>114</v>
      </c>
      <c r="S131" s="233"/>
    </row>
    <row r="132" spans="3:19">
      <c r="C132" s="312"/>
      <c r="D132" s="321"/>
      <c r="E132" s="312"/>
      <c r="F132" s="312"/>
      <c r="G132" s="312"/>
      <c r="H132" s="323"/>
      <c r="I132" s="233"/>
      <c r="J132" s="243"/>
      <c r="K132" s="233"/>
      <c r="L132" s="233"/>
      <c r="M132" s="233"/>
      <c r="N132" s="233"/>
      <c r="O132" s="233"/>
      <c r="P132" s="233"/>
      <c r="Q132" s="233"/>
      <c r="R132" s="371">
        <f>+M19</f>
        <v>8173098.1037967186</v>
      </c>
      <c r="S132" s="233" t="str">
        <f>+K19&amp;" "&amp;M17</f>
        <v>PROJECTED YEAR Rev Require</v>
      </c>
    </row>
    <row r="133" spans="3:19">
      <c r="C133" s="312"/>
      <c r="D133" s="321"/>
      <c r="E133" s="312"/>
      <c r="F133" s="312"/>
      <c r="G133" s="312"/>
      <c r="H133" s="323"/>
      <c r="I133" s="233"/>
      <c r="J133" s="243"/>
      <c r="K133" s="233"/>
      <c r="L133" s="233"/>
      <c r="M133" s="233"/>
      <c r="N133" s="233"/>
      <c r="O133" s="233"/>
      <c r="P133" s="233"/>
      <c r="Q133" s="233"/>
      <c r="R133" s="372">
        <f>+N19</f>
        <v>8173098.1037967186</v>
      </c>
      <c r="S133" s="233" t="str">
        <f>K19&amp;" "&amp;N17</f>
        <v>PROJECTED YEAR  W Incentives</v>
      </c>
    </row>
    <row r="134" spans="3:19" ht="13.5" thickBot="1">
      <c r="C134" s="312"/>
      <c r="D134" s="321"/>
      <c r="E134" s="312"/>
      <c r="F134" s="312"/>
      <c r="G134" s="312"/>
      <c r="H134" s="323"/>
      <c r="I134" s="233"/>
      <c r="J134" s="243"/>
      <c r="K134" s="233"/>
      <c r="L134" s="233"/>
      <c r="M134" s="233"/>
      <c r="N134" s="233"/>
      <c r="O134" s="233"/>
      <c r="P134" s="233"/>
      <c r="Q134" s="233"/>
      <c r="R134" s="373">
        <f>+O19</f>
        <v>0</v>
      </c>
      <c r="S134" s="233" t="str">
        <f>K19&amp;" "&amp;O17</f>
        <v>PROJECTED YEAR Incentive Amounts</v>
      </c>
    </row>
    <row r="135" spans="3:19">
      <c r="C135" s="312"/>
      <c r="D135" s="321"/>
      <c r="E135" s="312"/>
      <c r="F135" s="312"/>
      <c r="G135" s="312"/>
      <c r="H135" s="323"/>
      <c r="I135" s="233"/>
      <c r="J135" s="24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6"/>
  <dimension ref="A1:P162"/>
  <sheetViews>
    <sheetView view="pageBreakPreview" zoomScale="80" zoomScaleNormal="100" zoomScaleSheetLayoutView="80" workbookViewId="0">
      <selection activeCell="D12" sqref="D1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17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193510.26190476189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193510.26190476189</v>
      </c>
      <c r="O6" s="233"/>
      <c r="P6" s="233"/>
    </row>
    <row r="7" spans="1:16" ht="13.5" thickBot="1">
      <c r="C7" s="431" t="s">
        <v>46</v>
      </c>
      <c r="D7" s="599" t="s">
        <v>262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288</v>
      </c>
      <c r="E9" s="577" t="s">
        <v>289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1692023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2015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40286.261904761908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2015</v>
      </c>
      <c r="D17" s="584">
        <v>1500000</v>
      </c>
      <c r="E17" s="608">
        <v>0</v>
      </c>
      <c r="F17" s="584">
        <v>1500000</v>
      </c>
      <c r="G17" s="608">
        <v>206807.48514960654</v>
      </c>
      <c r="H17" s="587">
        <v>206807.48514960654</v>
      </c>
      <c r="I17" s="475">
        <v>0</v>
      </c>
      <c r="J17" s="475"/>
      <c r="K17" s="476">
        <f t="shared" ref="K17:K22" si="0">G17</f>
        <v>206807.48514960654</v>
      </c>
      <c r="L17" s="603">
        <f t="shared" ref="L17:L22" si="1">IF(K17&lt;&gt;0,+G17-K17,0)</f>
        <v>0</v>
      </c>
      <c r="M17" s="476">
        <f t="shared" ref="M17:M22" si="2">H17</f>
        <v>206807.48514960654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2016</v>
      </c>
      <c r="D18" s="584">
        <v>1777912</v>
      </c>
      <c r="E18" s="585">
        <v>34190.615384615383</v>
      </c>
      <c r="F18" s="584">
        <v>1743721.3846153845</v>
      </c>
      <c r="G18" s="585">
        <v>262896.61538461538</v>
      </c>
      <c r="H18" s="587">
        <v>262896.61538461538</v>
      </c>
      <c r="I18" s="475">
        <f>H18-G18</f>
        <v>0</v>
      </c>
      <c r="J18" s="475"/>
      <c r="K18" s="476">
        <f t="shared" si="0"/>
        <v>262896.61538461538</v>
      </c>
      <c r="L18" s="603">
        <f t="shared" si="1"/>
        <v>0</v>
      </c>
      <c r="M18" s="476">
        <f t="shared" si="2"/>
        <v>262896.61538461538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2017</v>
      </c>
      <c r="D19" s="584">
        <v>1657832.3846153845</v>
      </c>
      <c r="E19" s="585">
        <v>36783.108695652176</v>
      </c>
      <c r="F19" s="584">
        <v>1621049.2759197324</v>
      </c>
      <c r="G19" s="585">
        <v>243079.10869565216</v>
      </c>
      <c r="H19" s="587">
        <v>243079.10869565216</v>
      </c>
      <c r="I19" s="475">
        <f t="shared" ref="I19:I72" si="3">H19-G19</f>
        <v>0</v>
      </c>
      <c r="J19" s="475"/>
      <c r="K19" s="476">
        <f t="shared" si="0"/>
        <v>243079.10869565216</v>
      </c>
      <c r="L19" s="603">
        <f t="shared" si="1"/>
        <v>0</v>
      </c>
      <c r="M19" s="476">
        <f t="shared" si="2"/>
        <v>243079.10869565216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2018</v>
      </c>
      <c r="D20" s="584">
        <v>1621049.2759197324</v>
      </c>
      <c r="E20" s="585">
        <v>37600.511111111111</v>
      </c>
      <c r="F20" s="584">
        <v>1583448.7648086213</v>
      </c>
      <c r="G20" s="585">
        <v>229484.15653998824</v>
      </c>
      <c r="H20" s="587">
        <v>229484.15653998824</v>
      </c>
      <c r="I20" s="475">
        <f t="shared" si="3"/>
        <v>0</v>
      </c>
      <c r="J20" s="475"/>
      <c r="K20" s="476">
        <f t="shared" si="0"/>
        <v>229484.15653998824</v>
      </c>
      <c r="L20" s="603">
        <f t="shared" si="1"/>
        <v>0</v>
      </c>
      <c r="M20" s="476">
        <f t="shared" si="2"/>
        <v>229484.15653998824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4"/>
        <v/>
      </c>
      <c r="C21" s="472">
        <f>IF(D11="","-",+C20+1)</f>
        <v>2019</v>
      </c>
      <c r="D21" s="584">
        <v>1583448.7648086213</v>
      </c>
      <c r="E21" s="585">
        <v>42300.574999999997</v>
      </c>
      <c r="F21" s="584">
        <v>1541148.1898086213</v>
      </c>
      <c r="G21" s="585">
        <v>216741.56005757477</v>
      </c>
      <c r="H21" s="587">
        <v>216741.56005757477</v>
      </c>
      <c r="I21" s="475">
        <f t="shared" si="3"/>
        <v>0</v>
      </c>
      <c r="J21" s="475"/>
      <c r="K21" s="476">
        <f t="shared" si="0"/>
        <v>216741.56005757477</v>
      </c>
      <c r="L21" s="603">
        <f t="shared" si="1"/>
        <v>0</v>
      </c>
      <c r="M21" s="476">
        <f t="shared" si="2"/>
        <v>216741.56005757477</v>
      </c>
      <c r="N21" s="478">
        <f t="shared" ref="N21:N72" si="5">IF(M21&lt;&gt;0,+H21-M21,0)</f>
        <v>0</v>
      </c>
      <c r="O21" s="478">
        <f t="shared" ref="O21:O72" si="6">+N21-L21</f>
        <v>0</v>
      </c>
      <c r="P21" s="243"/>
    </row>
    <row r="22" spans="2:16">
      <c r="B22" s="160" t="str">
        <f t="shared" si="4"/>
        <v>IU</v>
      </c>
      <c r="C22" s="472">
        <f>IF(D11="","-",+C21+1)</f>
        <v>2020</v>
      </c>
      <c r="D22" s="584">
        <v>1545848.2536975101</v>
      </c>
      <c r="E22" s="585">
        <v>40286.261904761908</v>
      </c>
      <c r="F22" s="584">
        <v>1505561.9917927482</v>
      </c>
      <c r="G22" s="585">
        <v>205069.7033172223</v>
      </c>
      <c r="H22" s="587">
        <v>205069.7033172223</v>
      </c>
      <c r="I22" s="475">
        <f t="shared" si="3"/>
        <v>0</v>
      </c>
      <c r="J22" s="475"/>
      <c r="K22" s="476">
        <f t="shared" si="0"/>
        <v>205069.7033172223</v>
      </c>
      <c r="L22" s="603">
        <f t="shared" si="1"/>
        <v>0</v>
      </c>
      <c r="M22" s="476">
        <f t="shared" si="2"/>
        <v>205069.7033172223</v>
      </c>
      <c r="N22" s="478">
        <f t="shared" si="5"/>
        <v>0</v>
      </c>
      <c r="O22" s="478">
        <f t="shared" si="6"/>
        <v>0</v>
      </c>
      <c r="P22" s="243"/>
    </row>
    <row r="23" spans="2:16">
      <c r="B23" s="160" t="str">
        <f t="shared" si="4"/>
        <v>IU</v>
      </c>
      <c r="C23" s="472">
        <f>IF(D11="","-",+C22+1)</f>
        <v>2021</v>
      </c>
      <c r="D23" s="584">
        <v>1500861.9279038594</v>
      </c>
      <c r="E23" s="585">
        <v>39349.372093023259</v>
      </c>
      <c r="F23" s="584">
        <v>1461512.5558108361</v>
      </c>
      <c r="G23" s="585">
        <v>196932.37209302327</v>
      </c>
      <c r="H23" s="587">
        <v>196932.37209302327</v>
      </c>
      <c r="I23" s="475">
        <f t="shared" si="3"/>
        <v>0</v>
      </c>
      <c r="J23" s="475"/>
      <c r="K23" s="476">
        <f t="shared" ref="K23" si="7">G23</f>
        <v>196932.37209302327</v>
      </c>
      <c r="L23" s="603">
        <f t="shared" ref="L23" si="8">IF(K23&lt;&gt;0,+G23-K23,0)</f>
        <v>0</v>
      </c>
      <c r="M23" s="476">
        <f t="shared" ref="M23" si="9">H23</f>
        <v>196932.37209302327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4"/>
        <v/>
      </c>
      <c r="C24" s="472">
        <f>IF(D11="","-",+C23+1)</f>
        <v>2022</v>
      </c>
      <c r="D24" s="584">
        <v>1461512.5558108361</v>
      </c>
      <c r="E24" s="585">
        <v>40286.261904761908</v>
      </c>
      <c r="F24" s="584">
        <v>1421226.2939060743</v>
      </c>
      <c r="G24" s="585">
        <v>193510.26190476189</v>
      </c>
      <c r="H24" s="587">
        <v>193510.26190476189</v>
      </c>
      <c r="I24" s="475">
        <f t="shared" si="3"/>
        <v>0</v>
      </c>
      <c r="J24" s="475"/>
      <c r="K24" s="476">
        <f t="shared" ref="K24" si="10">G24</f>
        <v>193510.26190476189</v>
      </c>
      <c r="L24" s="603">
        <f t="shared" ref="L24" si="11">IF(K24&lt;&gt;0,+G24-K24,0)</f>
        <v>0</v>
      </c>
      <c r="M24" s="476">
        <f t="shared" ref="M24" si="12">H24</f>
        <v>193510.26190476189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4"/>
        <v/>
      </c>
      <c r="C25" s="472">
        <f>IF(D11="","-",+C24+1)</f>
        <v>2023</v>
      </c>
      <c r="D25" s="485">
        <f>IF(F24+SUM(E$17:E24)=D$10,F24,D$10-SUM(E$17:E24))</f>
        <v>1421226.2939060743</v>
      </c>
      <c r="E25" s="484">
        <f t="shared" ref="E25:E72" si="13">IF(+$I$14&lt;F24,$I$14,D25)</f>
        <v>40286.261904761908</v>
      </c>
      <c r="F25" s="485">
        <f t="shared" ref="F25:F72" si="14">+D25-E25</f>
        <v>1380940.0320013124</v>
      </c>
      <c r="G25" s="486">
        <f t="shared" ref="G25:G72" si="15">(D25+F25)/2*I$12+E25</f>
        <v>191338.78318236442</v>
      </c>
      <c r="H25" s="455">
        <f t="shared" ref="H25:H72" si="16">+(D25+F25)/2*I$13+E25</f>
        <v>191338.78318236442</v>
      </c>
      <c r="I25" s="475">
        <f t="shared" si="3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4"/>
        <v/>
      </c>
      <c r="C26" s="472">
        <f>IF(D11="","-",+C25+1)</f>
        <v>2024</v>
      </c>
      <c r="D26" s="485">
        <f>IF(F25+SUM(E$17:E25)=D$10,F25,D$10-SUM(E$17:E25))</f>
        <v>1380940.0320013124</v>
      </c>
      <c r="E26" s="484">
        <f t="shared" si="13"/>
        <v>40286.261904761908</v>
      </c>
      <c r="F26" s="485">
        <f t="shared" si="14"/>
        <v>1340653.7700965505</v>
      </c>
      <c r="G26" s="486">
        <f t="shared" si="15"/>
        <v>186995.47109749477</v>
      </c>
      <c r="H26" s="455">
        <f t="shared" si="16"/>
        <v>186995.47109749477</v>
      </c>
      <c r="I26" s="475">
        <f t="shared" si="3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4"/>
        <v/>
      </c>
      <c r="C27" s="472">
        <f>IF(D11="","-",+C26+1)</f>
        <v>2025</v>
      </c>
      <c r="D27" s="485">
        <f>IF(F26+SUM(E$17:E26)=D$10,F26,D$10-SUM(E$17:E26))</f>
        <v>1340653.7700965505</v>
      </c>
      <c r="E27" s="484">
        <f t="shared" si="13"/>
        <v>40286.261904761908</v>
      </c>
      <c r="F27" s="485">
        <f t="shared" si="14"/>
        <v>1300367.5081917886</v>
      </c>
      <c r="G27" s="486">
        <f t="shared" si="15"/>
        <v>182652.15901262517</v>
      </c>
      <c r="H27" s="455">
        <f t="shared" si="16"/>
        <v>182652.15901262517</v>
      </c>
      <c r="I27" s="475">
        <f t="shared" si="3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4"/>
        <v/>
      </c>
      <c r="C28" s="472">
        <f>IF(D11="","-",+C27+1)</f>
        <v>2026</v>
      </c>
      <c r="D28" s="485">
        <f>IF(F27+SUM(E$17:E27)=D$10,F27,D$10-SUM(E$17:E27))</f>
        <v>1300367.5081917886</v>
      </c>
      <c r="E28" s="484">
        <f t="shared" si="13"/>
        <v>40286.261904761908</v>
      </c>
      <c r="F28" s="485">
        <f t="shared" si="14"/>
        <v>1260081.2462870267</v>
      </c>
      <c r="G28" s="486">
        <f t="shared" si="15"/>
        <v>178308.84692775557</v>
      </c>
      <c r="H28" s="455">
        <f t="shared" si="16"/>
        <v>178308.84692775557</v>
      </c>
      <c r="I28" s="475">
        <f t="shared" si="3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4"/>
        <v/>
      </c>
      <c r="C29" s="472">
        <f>IF(D11="","-",+C28+1)</f>
        <v>2027</v>
      </c>
      <c r="D29" s="485">
        <f>IF(F28+SUM(E$17:E28)=D$10,F28,D$10-SUM(E$17:E28))</f>
        <v>1260081.2462870267</v>
      </c>
      <c r="E29" s="484">
        <f t="shared" si="13"/>
        <v>40286.261904761908</v>
      </c>
      <c r="F29" s="485">
        <f t="shared" si="14"/>
        <v>1219794.9843822648</v>
      </c>
      <c r="G29" s="486">
        <f t="shared" si="15"/>
        <v>173965.53484288597</v>
      </c>
      <c r="H29" s="455">
        <f t="shared" si="16"/>
        <v>173965.53484288597</v>
      </c>
      <c r="I29" s="475">
        <f t="shared" si="3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4"/>
        <v/>
      </c>
      <c r="C30" s="472">
        <f>IF(D11="","-",+C29+1)</f>
        <v>2028</v>
      </c>
      <c r="D30" s="485">
        <f>IF(F29+SUM(E$17:E29)=D$10,F29,D$10-SUM(E$17:E29))</f>
        <v>1219794.9843822648</v>
      </c>
      <c r="E30" s="484">
        <f t="shared" si="13"/>
        <v>40286.261904761908</v>
      </c>
      <c r="F30" s="485">
        <f t="shared" si="14"/>
        <v>1179508.7224775029</v>
      </c>
      <c r="G30" s="486">
        <f t="shared" si="15"/>
        <v>169622.22275801632</v>
      </c>
      <c r="H30" s="455">
        <f t="shared" si="16"/>
        <v>169622.22275801632</v>
      </c>
      <c r="I30" s="475">
        <f t="shared" si="3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4"/>
        <v/>
      </c>
      <c r="C31" s="472">
        <f>IF(D11="","-",+C30+1)</f>
        <v>2029</v>
      </c>
      <c r="D31" s="485">
        <f>IF(F30+SUM(E$17:E30)=D$10,F30,D$10-SUM(E$17:E30))</f>
        <v>1179508.7224775029</v>
      </c>
      <c r="E31" s="484">
        <f t="shared" si="13"/>
        <v>40286.261904761908</v>
      </c>
      <c r="F31" s="485">
        <f t="shared" si="14"/>
        <v>1139222.460572741</v>
      </c>
      <c r="G31" s="486">
        <f t="shared" si="15"/>
        <v>165278.91067314675</v>
      </c>
      <c r="H31" s="455">
        <f t="shared" si="16"/>
        <v>165278.91067314675</v>
      </c>
      <c r="I31" s="475">
        <f t="shared" si="3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4"/>
        <v/>
      </c>
      <c r="C32" s="472">
        <f>IF(D11="","-",+C31+1)</f>
        <v>2030</v>
      </c>
      <c r="D32" s="485">
        <f>IF(F31+SUM(E$17:E31)=D$10,F31,D$10-SUM(E$17:E31))</f>
        <v>1139222.460572741</v>
      </c>
      <c r="E32" s="484">
        <f t="shared" si="13"/>
        <v>40286.261904761908</v>
      </c>
      <c r="F32" s="485">
        <f t="shared" si="14"/>
        <v>1098936.1986679791</v>
      </c>
      <c r="G32" s="486">
        <f t="shared" si="15"/>
        <v>160935.59858827712</v>
      </c>
      <c r="H32" s="455">
        <f t="shared" si="16"/>
        <v>160935.59858827712</v>
      </c>
      <c r="I32" s="475">
        <f t="shared" si="3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4"/>
        <v/>
      </c>
      <c r="C33" s="472">
        <f>IF(D11="","-",+C32+1)</f>
        <v>2031</v>
      </c>
      <c r="D33" s="485">
        <f>IF(F32+SUM(E$17:E32)=D$10,F32,D$10-SUM(E$17:E32))</f>
        <v>1098936.1986679791</v>
      </c>
      <c r="E33" s="484">
        <f t="shared" si="13"/>
        <v>40286.261904761908</v>
      </c>
      <c r="F33" s="485">
        <f t="shared" si="14"/>
        <v>1058649.9367632172</v>
      </c>
      <c r="G33" s="486">
        <f t="shared" si="15"/>
        <v>156592.28650340752</v>
      </c>
      <c r="H33" s="455">
        <f t="shared" si="16"/>
        <v>156592.28650340752</v>
      </c>
      <c r="I33" s="475">
        <f t="shared" si="3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4"/>
        <v/>
      </c>
      <c r="C34" s="472">
        <f>IF(D11="","-",+C33+1)</f>
        <v>2032</v>
      </c>
      <c r="D34" s="485">
        <f>IF(F33+SUM(E$17:E33)=D$10,F33,D$10-SUM(E$17:E33))</f>
        <v>1058649.9367632172</v>
      </c>
      <c r="E34" s="484">
        <f t="shared" si="13"/>
        <v>40286.261904761908</v>
      </c>
      <c r="F34" s="485">
        <f t="shared" si="14"/>
        <v>1018363.6748584553</v>
      </c>
      <c r="G34" s="486">
        <f t="shared" si="15"/>
        <v>152248.97441853792</v>
      </c>
      <c r="H34" s="455">
        <f t="shared" si="16"/>
        <v>152248.97441853792</v>
      </c>
      <c r="I34" s="475">
        <f t="shared" si="3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4"/>
        <v/>
      </c>
      <c r="C35" s="472">
        <f>IF(D11="","-",+C34+1)</f>
        <v>2033</v>
      </c>
      <c r="D35" s="485">
        <f>IF(F34+SUM(E$17:E34)=D$10,F34,D$10-SUM(E$17:E34))</f>
        <v>1018363.6748584553</v>
      </c>
      <c r="E35" s="484">
        <f t="shared" si="13"/>
        <v>40286.261904761908</v>
      </c>
      <c r="F35" s="485">
        <f t="shared" si="14"/>
        <v>978077.41295369342</v>
      </c>
      <c r="G35" s="486">
        <f t="shared" si="15"/>
        <v>147905.6623336683</v>
      </c>
      <c r="H35" s="455">
        <f t="shared" si="16"/>
        <v>147905.6623336683</v>
      </c>
      <c r="I35" s="475">
        <f t="shared" si="3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4"/>
        <v/>
      </c>
      <c r="C36" s="472">
        <f>IF(D11="","-",+C35+1)</f>
        <v>2034</v>
      </c>
      <c r="D36" s="485">
        <f>IF(F35+SUM(E$17:E35)=D$10,F35,D$10-SUM(E$17:E35))</f>
        <v>978077.41295369342</v>
      </c>
      <c r="E36" s="484">
        <f t="shared" si="13"/>
        <v>40286.261904761908</v>
      </c>
      <c r="F36" s="485">
        <f t="shared" si="14"/>
        <v>937791.15104893153</v>
      </c>
      <c r="G36" s="486">
        <f t="shared" si="15"/>
        <v>143562.35024879867</v>
      </c>
      <c r="H36" s="455">
        <f t="shared" si="16"/>
        <v>143562.35024879867</v>
      </c>
      <c r="I36" s="475">
        <f t="shared" si="3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4"/>
        <v/>
      </c>
      <c r="C37" s="472">
        <f>IF(D11="","-",+C36+1)</f>
        <v>2035</v>
      </c>
      <c r="D37" s="485">
        <f>IF(F36+SUM(E$17:E36)=D$10,F36,D$10-SUM(E$17:E36))</f>
        <v>937791.15104893153</v>
      </c>
      <c r="E37" s="484">
        <f t="shared" si="13"/>
        <v>40286.261904761908</v>
      </c>
      <c r="F37" s="485">
        <f t="shared" si="14"/>
        <v>897504.88914416963</v>
      </c>
      <c r="G37" s="486">
        <f t="shared" si="15"/>
        <v>139219.03816392907</v>
      </c>
      <c r="H37" s="455">
        <f t="shared" si="16"/>
        <v>139219.03816392907</v>
      </c>
      <c r="I37" s="475">
        <f t="shared" si="3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4"/>
        <v/>
      </c>
      <c r="C38" s="472">
        <f>IF(D11="","-",+C37+1)</f>
        <v>2036</v>
      </c>
      <c r="D38" s="485">
        <f>IF(F37+SUM(E$17:E37)=D$10,F37,D$10-SUM(E$17:E37))</f>
        <v>897504.88914416963</v>
      </c>
      <c r="E38" s="484">
        <f t="shared" si="13"/>
        <v>40286.261904761908</v>
      </c>
      <c r="F38" s="485">
        <f t="shared" si="14"/>
        <v>857218.62723940774</v>
      </c>
      <c r="G38" s="486">
        <f t="shared" si="15"/>
        <v>134875.72607905947</v>
      </c>
      <c r="H38" s="455">
        <f t="shared" si="16"/>
        <v>134875.72607905947</v>
      </c>
      <c r="I38" s="475">
        <f t="shared" si="3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4"/>
        <v/>
      </c>
      <c r="C39" s="472">
        <f>IF(D11="","-",+C38+1)</f>
        <v>2037</v>
      </c>
      <c r="D39" s="485">
        <f>IF(F38+SUM(E$17:E38)=D$10,F38,D$10-SUM(E$17:E38))</f>
        <v>857218.62723940774</v>
      </c>
      <c r="E39" s="484">
        <f t="shared" si="13"/>
        <v>40286.261904761908</v>
      </c>
      <c r="F39" s="485">
        <f t="shared" si="14"/>
        <v>816932.36533464584</v>
      </c>
      <c r="G39" s="486">
        <f t="shared" si="15"/>
        <v>130532.41399418986</v>
      </c>
      <c r="H39" s="455">
        <f t="shared" si="16"/>
        <v>130532.41399418986</v>
      </c>
      <c r="I39" s="475">
        <f t="shared" si="3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4"/>
        <v/>
      </c>
      <c r="C40" s="472">
        <f>IF(D11="","-",+C39+1)</f>
        <v>2038</v>
      </c>
      <c r="D40" s="485">
        <f>IF(F39+SUM(E$17:E39)=D$10,F39,D$10-SUM(E$17:E39))</f>
        <v>816932.36533464584</v>
      </c>
      <c r="E40" s="484">
        <f t="shared" si="13"/>
        <v>40286.261904761908</v>
      </c>
      <c r="F40" s="485">
        <f t="shared" si="14"/>
        <v>776646.10342988395</v>
      </c>
      <c r="G40" s="486">
        <f t="shared" si="15"/>
        <v>126189.10190932025</v>
      </c>
      <c r="H40" s="455">
        <f t="shared" si="16"/>
        <v>126189.10190932025</v>
      </c>
      <c r="I40" s="475">
        <f t="shared" si="3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4"/>
        <v/>
      </c>
      <c r="C41" s="472">
        <f>IF(D11="","-",+C40+1)</f>
        <v>2039</v>
      </c>
      <c r="D41" s="485">
        <f>IF(F40+SUM(E$17:E40)=D$10,F40,D$10-SUM(E$17:E40))</f>
        <v>776646.10342988395</v>
      </c>
      <c r="E41" s="484">
        <f t="shared" si="13"/>
        <v>40286.261904761908</v>
      </c>
      <c r="F41" s="485">
        <f t="shared" si="14"/>
        <v>736359.84152512206</v>
      </c>
      <c r="G41" s="486">
        <f t="shared" si="15"/>
        <v>121845.78982445065</v>
      </c>
      <c r="H41" s="455">
        <f t="shared" si="16"/>
        <v>121845.78982445065</v>
      </c>
      <c r="I41" s="475">
        <f t="shared" si="3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4"/>
        <v/>
      </c>
      <c r="C42" s="472">
        <f>IF(D11="","-",+C41+1)</f>
        <v>2040</v>
      </c>
      <c r="D42" s="485">
        <f>IF(F41+SUM(E$17:E41)=D$10,F41,D$10-SUM(E$17:E41))</f>
        <v>736359.84152512206</v>
      </c>
      <c r="E42" s="484">
        <f t="shared" si="13"/>
        <v>40286.261904761908</v>
      </c>
      <c r="F42" s="485">
        <f t="shared" si="14"/>
        <v>696073.57962036016</v>
      </c>
      <c r="G42" s="486">
        <f t="shared" si="15"/>
        <v>117502.47773958104</v>
      </c>
      <c r="H42" s="455">
        <f t="shared" si="16"/>
        <v>117502.47773958104</v>
      </c>
      <c r="I42" s="475">
        <f t="shared" si="3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4"/>
        <v/>
      </c>
      <c r="C43" s="472">
        <f>IF(D11="","-",+C42+1)</f>
        <v>2041</v>
      </c>
      <c r="D43" s="485">
        <f>IF(F42+SUM(E$17:E42)=D$10,F42,D$10-SUM(E$17:E42))</f>
        <v>696073.57962036016</v>
      </c>
      <c r="E43" s="484">
        <f t="shared" si="13"/>
        <v>40286.261904761908</v>
      </c>
      <c r="F43" s="485">
        <f t="shared" si="14"/>
        <v>655787.31771559827</v>
      </c>
      <c r="G43" s="486">
        <f t="shared" si="15"/>
        <v>113159.16565471143</v>
      </c>
      <c r="H43" s="455">
        <f t="shared" si="16"/>
        <v>113159.16565471143</v>
      </c>
      <c r="I43" s="475">
        <f t="shared" si="3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4"/>
        <v/>
      </c>
      <c r="C44" s="472">
        <f>IF(D11="","-",+C43+1)</f>
        <v>2042</v>
      </c>
      <c r="D44" s="485">
        <f>IF(F43+SUM(E$17:E43)=D$10,F43,D$10-SUM(E$17:E43))</f>
        <v>655787.31771559827</v>
      </c>
      <c r="E44" s="484">
        <f t="shared" si="13"/>
        <v>40286.261904761908</v>
      </c>
      <c r="F44" s="485">
        <f t="shared" si="14"/>
        <v>615501.05581083638</v>
      </c>
      <c r="G44" s="486">
        <f t="shared" si="15"/>
        <v>108815.85356984181</v>
      </c>
      <c r="H44" s="455">
        <f t="shared" si="16"/>
        <v>108815.85356984181</v>
      </c>
      <c r="I44" s="475">
        <f t="shared" si="3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4"/>
        <v/>
      </c>
      <c r="C45" s="472">
        <f>IF(D11="","-",+C44+1)</f>
        <v>2043</v>
      </c>
      <c r="D45" s="485">
        <f>IF(F44+SUM(E$17:E44)=D$10,F44,D$10-SUM(E$17:E44))</f>
        <v>615501.05581083638</v>
      </c>
      <c r="E45" s="484">
        <f t="shared" si="13"/>
        <v>40286.261904761908</v>
      </c>
      <c r="F45" s="485">
        <f t="shared" si="14"/>
        <v>575214.79390607448</v>
      </c>
      <c r="G45" s="486">
        <f t="shared" si="15"/>
        <v>104472.5414849722</v>
      </c>
      <c r="H45" s="455">
        <f t="shared" si="16"/>
        <v>104472.5414849722</v>
      </c>
      <c r="I45" s="475">
        <f t="shared" si="3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4"/>
        <v/>
      </c>
      <c r="C46" s="472">
        <f>IF(D11="","-",+C45+1)</f>
        <v>2044</v>
      </c>
      <c r="D46" s="485">
        <f>IF(F45+SUM(E$17:E45)=D$10,F45,D$10-SUM(E$17:E45))</f>
        <v>575214.79390607448</v>
      </c>
      <c r="E46" s="484">
        <f t="shared" si="13"/>
        <v>40286.261904761908</v>
      </c>
      <c r="F46" s="485">
        <f t="shared" si="14"/>
        <v>534928.53200131259</v>
      </c>
      <c r="G46" s="486">
        <f t="shared" si="15"/>
        <v>100129.2294001026</v>
      </c>
      <c r="H46" s="455">
        <f t="shared" si="16"/>
        <v>100129.2294001026</v>
      </c>
      <c r="I46" s="475">
        <f t="shared" si="3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4"/>
        <v/>
      </c>
      <c r="C47" s="472">
        <f>IF(D11="","-",+C46+1)</f>
        <v>2045</v>
      </c>
      <c r="D47" s="485">
        <f>IF(F46+SUM(E$17:E46)=D$10,F46,D$10-SUM(E$17:E46))</f>
        <v>534928.53200131259</v>
      </c>
      <c r="E47" s="484">
        <f t="shared" si="13"/>
        <v>40286.261904761908</v>
      </c>
      <c r="F47" s="485">
        <f t="shared" si="14"/>
        <v>494642.2700965507</v>
      </c>
      <c r="G47" s="486">
        <f t="shared" si="15"/>
        <v>95785.917315232989</v>
      </c>
      <c r="H47" s="455">
        <f t="shared" si="16"/>
        <v>95785.917315232989</v>
      </c>
      <c r="I47" s="475">
        <f t="shared" si="3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4"/>
        <v/>
      </c>
      <c r="C48" s="472">
        <f>IF(D11="","-",+C47+1)</f>
        <v>2046</v>
      </c>
      <c r="D48" s="485">
        <f>IF(F47+SUM(E$17:E47)=D$10,F47,D$10-SUM(E$17:E47))</f>
        <v>494642.2700965507</v>
      </c>
      <c r="E48" s="484">
        <f t="shared" si="13"/>
        <v>40286.261904761908</v>
      </c>
      <c r="F48" s="485">
        <f t="shared" si="14"/>
        <v>454356.0081917888</v>
      </c>
      <c r="G48" s="486">
        <f t="shared" si="15"/>
        <v>91442.605230363377</v>
      </c>
      <c r="H48" s="455">
        <f t="shared" si="16"/>
        <v>91442.605230363377</v>
      </c>
      <c r="I48" s="475">
        <f t="shared" si="3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4"/>
        <v/>
      </c>
      <c r="C49" s="472">
        <f>IF(D11="","-",+C48+1)</f>
        <v>2047</v>
      </c>
      <c r="D49" s="485">
        <f>IF(F48+SUM(E$17:E48)=D$10,F48,D$10-SUM(E$17:E48))</f>
        <v>454356.0081917888</v>
      </c>
      <c r="E49" s="484">
        <f t="shared" si="13"/>
        <v>40286.261904761908</v>
      </c>
      <c r="F49" s="485">
        <f t="shared" si="14"/>
        <v>414069.74628702691</v>
      </c>
      <c r="G49" s="486">
        <f t="shared" si="15"/>
        <v>87099.293145493779</v>
      </c>
      <c r="H49" s="455">
        <f t="shared" si="16"/>
        <v>87099.293145493779</v>
      </c>
      <c r="I49" s="475">
        <f t="shared" si="3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4"/>
        <v/>
      </c>
      <c r="C50" s="472">
        <f>IF(D11="","-",+C49+1)</f>
        <v>2048</v>
      </c>
      <c r="D50" s="485">
        <f>IF(F49+SUM(E$17:E49)=D$10,F49,D$10-SUM(E$17:E49))</f>
        <v>414069.74628702691</v>
      </c>
      <c r="E50" s="484">
        <f t="shared" si="13"/>
        <v>40286.261904761908</v>
      </c>
      <c r="F50" s="485">
        <f t="shared" si="14"/>
        <v>373783.48438226501</v>
      </c>
      <c r="G50" s="486">
        <f t="shared" si="15"/>
        <v>82755.981060624152</v>
      </c>
      <c r="H50" s="455">
        <f t="shared" si="16"/>
        <v>82755.981060624152</v>
      </c>
      <c r="I50" s="475">
        <f t="shared" si="3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4"/>
        <v/>
      </c>
      <c r="C51" s="472">
        <f>IF(D11="","-",+C50+1)</f>
        <v>2049</v>
      </c>
      <c r="D51" s="485">
        <f>IF(F50+SUM(E$17:E50)=D$10,F50,D$10-SUM(E$17:E50))</f>
        <v>373783.48438226501</v>
      </c>
      <c r="E51" s="484">
        <f t="shared" si="13"/>
        <v>40286.261904761908</v>
      </c>
      <c r="F51" s="485">
        <f t="shared" si="14"/>
        <v>333497.22247750312</v>
      </c>
      <c r="G51" s="486">
        <f t="shared" si="15"/>
        <v>78412.668975754554</v>
      </c>
      <c r="H51" s="455">
        <f t="shared" si="16"/>
        <v>78412.668975754554</v>
      </c>
      <c r="I51" s="475">
        <f t="shared" si="3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4"/>
        <v/>
      </c>
      <c r="C52" s="472">
        <f>IF(D11="","-",+C51+1)</f>
        <v>2050</v>
      </c>
      <c r="D52" s="485">
        <f>IF(F51+SUM(E$17:E51)=D$10,F51,D$10-SUM(E$17:E51))</f>
        <v>333497.22247750312</v>
      </c>
      <c r="E52" s="484">
        <f t="shared" si="13"/>
        <v>40286.261904761908</v>
      </c>
      <c r="F52" s="485">
        <f t="shared" si="14"/>
        <v>293210.96057274123</v>
      </c>
      <c r="G52" s="486">
        <f t="shared" si="15"/>
        <v>74069.356890884941</v>
      </c>
      <c r="H52" s="455">
        <f t="shared" si="16"/>
        <v>74069.356890884941</v>
      </c>
      <c r="I52" s="475">
        <f t="shared" si="3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4"/>
        <v/>
      </c>
      <c r="C53" s="472">
        <f>IF(D11="","-",+C52+1)</f>
        <v>2051</v>
      </c>
      <c r="D53" s="485">
        <f>IF(F52+SUM(E$17:E52)=D$10,F52,D$10-SUM(E$17:E52))</f>
        <v>293210.96057274123</v>
      </c>
      <c r="E53" s="484">
        <f t="shared" si="13"/>
        <v>40286.261904761908</v>
      </c>
      <c r="F53" s="485">
        <f t="shared" si="14"/>
        <v>252924.69866797933</v>
      </c>
      <c r="G53" s="486">
        <f t="shared" si="15"/>
        <v>69726.044806015329</v>
      </c>
      <c r="H53" s="455">
        <f t="shared" si="16"/>
        <v>69726.044806015329</v>
      </c>
      <c r="I53" s="475">
        <f t="shared" si="3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4"/>
        <v/>
      </c>
      <c r="C54" s="472">
        <f>IF(D11="","-",+C53+1)</f>
        <v>2052</v>
      </c>
      <c r="D54" s="485">
        <f>IF(F53+SUM(E$17:E53)=D$10,F53,D$10-SUM(E$17:E53))</f>
        <v>252924.69866797933</v>
      </c>
      <c r="E54" s="484">
        <f t="shared" si="13"/>
        <v>40286.261904761908</v>
      </c>
      <c r="F54" s="485">
        <f t="shared" si="14"/>
        <v>212638.43676321744</v>
      </c>
      <c r="G54" s="486">
        <f t="shared" si="15"/>
        <v>65382.732721145716</v>
      </c>
      <c r="H54" s="455">
        <f t="shared" si="16"/>
        <v>65382.732721145716</v>
      </c>
      <c r="I54" s="475">
        <f t="shared" si="3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4"/>
        <v/>
      </c>
      <c r="C55" s="472">
        <f>IF(D11="","-",+C54+1)</f>
        <v>2053</v>
      </c>
      <c r="D55" s="485">
        <f>IF(F54+SUM(E$17:E54)=D$10,F54,D$10-SUM(E$17:E54))</f>
        <v>212638.43676321744</v>
      </c>
      <c r="E55" s="484">
        <f t="shared" si="13"/>
        <v>40286.261904761908</v>
      </c>
      <c r="F55" s="485">
        <f t="shared" si="14"/>
        <v>172352.17485845555</v>
      </c>
      <c r="G55" s="486">
        <f t="shared" si="15"/>
        <v>61039.420636276111</v>
      </c>
      <c r="H55" s="455">
        <f t="shared" si="16"/>
        <v>61039.420636276111</v>
      </c>
      <c r="I55" s="475">
        <f t="shared" si="3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4"/>
        <v/>
      </c>
      <c r="C56" s="472">
        <f>IF(D11="","-",+C55+1)</f>
        <v>2054</v>
      </c>
      <c r="D56" s="485">
        <f>IF(F55+SUM(E$17:E55)=D$10,F55,D$10-SUM(E$17:E55))</f>
        <v>172352.17485845555</v>
      </c>
      <c r="E56" s="484">
        <f t="shared" si="13"/>
        <v>40286.261904761908</v>
      </c>
      <c r="F56" s="485">
        <f t="shared" si="14"/>
        <v>132065.91295369365</v>
      </c>
      <c r="G56" s="486">
        <f t="shared" si="15"/>
        <v>56696.108551406505</v>
      </c>
      <c r="H56" s="455">
        <f t="shared" si="16"/>
        <v>56696.108551406505</v>
      </c>
      <c r="I56" s="475">
        <f t="shared" si="3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4"/>
        <v/>
      </c>
      <c r="C57" s="472">
        <f>IF(D11="","-",+C56+1)</f>
        <v>2055</v>
      </c>
      <c r="D57" s="485">
        <f>IF(F56+SUM(E$17:E56)=D$10,F56,D$10-SUM(E$17:E56))</f>
        <v>132065.91295369365</v>
      </c>
      <c r="E57" s="484">
        <f t="shared" si="13"/>
        <v>40286.261904761908</v>
      </c>
      <c r="F57" s="485">
        <f t="shared" si="14"/>
        <v>91779.651048931744</v>
      </c>
      <c r="G57" s="486">
        <f t="shared" si="15"/>
        <v>52352.796466536893</v>
      </c>
      <c r="H57" s="455">
        <f t="shared" si="16"/>
        <v>52352.796466536893</v>
      </c>
      <c r="I57" s="475">
        <f t="shared" si="3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4"/>
        <v/>
      </c>
      <c r="C58" s="472">
        <f>IF(D11="","-",+C57+1)</f>
        <v>2056</v>
      </c>
      <c r="D58" s="485">
        <f>IF(F57+SUM(E$17:E57)=D$10,F57,D$10-SUM(E$17:E57))</f>
        <v>91779.651048931744</v>
      </c>
      <c r="E58" s="484">
        <f t="shared" si="13"/>
        <v>40286.261904761908</v>
      </c>
      <c r="F58" s="485">
        <f t="shared" si="14"/>
        <v>51493.389144169836</v>
      </c>
      <c r="G58" s="486">
        <f t="shared" si="15"/>
        <v>48009.48438166728</v>
      </c>
      <c r="H58" s="455">
        <f t="shared" si="16"/>
        <v>48009.48438166728</v>
      </c>
      <c r="I58" s="475">
        <f t="shared" si="3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4"/>
        <v/>
      </c>
      <c r="C59" s="472">
        <f>IF(D11="","-",+C58+1)</f>
        <v>2057</v>
      </c>
      <c r="D59" s="485">
        <f>IF(F58+SUM(E$17:E58)=D$10,F58,D$10-SUM(E$17:E58))</f>
        <v>51493.389144169836</v>
      </c>
      <c r="E59" s="484">
        <f t="shared" si="13"/>
        <v>40286.261904761908</v>
      </c>
      <c r="F59" s="485">
        <f t="shared" si="14"/>
        <v>11207.127239407928</v>
      </c>
      <c r="G59" s="486">
        <f t="shared" si="15"/>
        <v>43666.172296797668</v>
      </c>
      <c r="H59" s="455">
        <f t="shared" si="16"/>
        <v>43666.172296797668</v>
      </c>
      <c r="I59" s="475">
        <f t="shared" si="3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4"/>
        <v/>
      </c>
      <c r="C60" s="472">
        <f>IF(D11="","-",+C59+1)</f>
        <v>2058</v>
      </c>
      <c r="D60" s="485">
        <f>IF(F59+SUM(E$17:E59)=D$10,F59,D$10-SUM(E$17:E59))</f>
        <v>11207.127239407928</v>
      </c>
      <c r="E60" s="484">
        <f t="shared" si="13"/>
        <v>11207.127239407928</v>
      </c>
      <c r="F60" s="485">
        <f t="shared" si="14"/>
        <v>0</v>
      </c>
      <c r="G60" s="486">
        <f t="shared" si="15"/>
        <v>11811.254414208406</v>
      </c>
      <c r="H60" s="455">
        <f t="shared" si="16"/>
        <v>11811.254414208406</v>
      </c>
      <c r="I60" s="475">
        <f t="shared" si="3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4"/>
        <v/>
      </c>
      <c r="C61" s="472">
        <f>IF(D11="","-",+C60+1)</f>
        <v>2059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3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4"/>
        <v/>
      </c>
      <c r="C62" s="472">
        <f>IF(D11="","-",+C61+1)</f>
        <v>2060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3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4"/>
        <v/>
      </c>
      <c r="C63" s="472">
        <f>IF(D11="","-",+C62+1)</f>
        <v>2061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3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4"/>
        <v/>
      </c>
      <c r="C64" s="472">
        <f>IF(D11="","-",+C63+1)</f>
        <v>2062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3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4"/>
        <v/>
      </c>
      <c r="C65" s="472">
        <f>IF(D11="","-",+C64+1)</f>
        <v>2063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3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4"/>
        <v/>
      </c>
      <c r="C66" s="472">
        <f>IF(D11="","-",+C65+1)</f>
        <v>2064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3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4"/>
        <v/>
      </c>
      <c r="C67" s="472">
        <f>IF(D11="","-",+C66+1)</f>
        <v>2065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3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4"/>
        <v/>
      </c>
      <c r="C68" s="472">
        <f>IF(D11="","-",+C67+1)</f>
        <v>2066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3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4"/>
        <v/>
      </c>
      <c r="C69" s="472">
        <f>IF(D11="","-",+C68+1)</f>
        <v>2067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3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4"/>
        <v/>
      </c>
      <c r="C70" s="472">
        <f>IF(D11="","-",+C69+1)</f>
        <v>2068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3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4"/>
        <v/>
      </c>
      <c r="C71" s="472">
        <f>IF(D11="","-",+C70+1)</f>
        <v>2069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3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2070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490">
        <f t="shared" si="15"/>
        <v>0</v>
      </c>
      <c r="H72" s="490">
        <f t="shared" si="16"/>
        <v>0</v>
      </c>
      <c r="I72" s="493">
        <f t="shared" si="3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1692023</v>
      </c>
      <c r="F73" s="348"/>
      <c r="G73" s="348">
        <f>SUM(G17:G72)</f>
        <v>5878919.2384419879</v>
      </c>
      <c r="H73" s="348">
        <f>SUM(H17:H72)</f>
        <v>5878919.2384419879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17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193510.26190476189</v>
      </c>
      <c r="N87" s="508">
        <f>IF(J92&lt;D11,0,VLOOKUP(J92,C17:O72,11))</f>
        <v>193510.26190476189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201555.33840860223</v>
      </c>
      <c r="N88" s="512">
        <f>IF(J92&lt;D11,0,VLOOKUP(J92,C99:P154,7))</f>
        <v>201555.33840860223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Grady Customer Connection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8045.0765038403333</v>
      </c>
      <c r="N89" s="517">
        <f>+N88-N87</f>
        <v>8045.0765038403333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TP2013002</v>
      </c>
      <c r="E91" s="522" t="str">
        <f>E9</f>
        <v xml:space="preserve">  SPP Project ID = 30748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1692023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2015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43385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2015</v>
      </c>
      <c r="D99" s="584">
        <v>0</v>
      </c>
      <c r="E99" s="608">
        <v>0</v>
      </c>
      <c r="F99" s="584">
        <v>1625288</v>
      </c>
      <c r="G99" s="608">
        <v>812644</v>
      </c>
      <c r="H99" s="587">
        <v>110878.7398202499</v>
      </c>
      <c r="I99" s="607">
        <v>110878.7398202499</v>
      </c>
      <c r="J99" s="478">
        <f>+I99-H99</f>
        <v>0</v>
      </c>
      <c r="K99" s="478"/>
      <c r="L99" s="554">
        <f>+H99</f>
        <v>110878.7398202499</v>
      </c>
      <c r="M99" s="477">
        <f t="shared" ref="M99:M130" si="18">IF(L99&lt;&gt;0,+H99-L99,0)</f>
        <v>0</v>
      </c>
      <c r="N99" s="554">
        <f>+I99</f>
        <v>110878.7398202499</v>
      </c>
      <c r="O99" s="477">
        <f t="shared" ref="O99:O130" si="19">IF(N99&lt;&gt;0,+I99-N99,0)</f>
        <v>0</v>
      </c>
      <c r="P99" s="477">
        <f t="shared" ref="P99:P130" si="20">+O99-M99</f>
        <v>0</v>
      </c>
    </row>
    <row r="100" spans="1:16">
      <c r="B100" s="160" t="str">
        <f>IF(D100=F99,"","IU")</f>
        <v>IU</v>
      </c>
      <c r="C100" s="472">
        <f>IF(D93="","-",+C99+1)</f>
        <v>2016</v>
      </c>
      <c r="D100" s="584">
        <v>1692023</v>
      </c>
      <c r="E100" s="585">
        <v>36783</v>
      </c>
      <c r="F100" s="586">
        <v>1655240</v>
      </c>
      <c r="G100" s="586">
        <v>1673631.5</v>
      </c>
      <c r="H100" s="606">
        <v>252540.45816220198</v>
      </c>
      <c r="I100" s="607">
        <v>252540.45816220198</v>
      </c>
      <c r="J100" s="478">
        <f>+I100-H100</f>
        <v>0</v>
      </c>
      <c r="K100" s="478"/>
      <c r="L100" s="476">
        <f t="shared" ref="L100:L105" si="21">H100</f>
        <v>252540.45816220198</v>
      </c>
      <c r="M100" s="603">
        <f t="shared" ref="M100:M105" si="22">IF(L100&lt;&gt;0,+H100-L100,0)</f>
        <v>0</v>
      </c>
      <c r="N100" s="476">
        <f t="shared" ref="N100:N105" si="23">I100</f>
        <v>252540.45816220198</v>
      </c>
      <c r="O100" s="478">
        <f>IF(N100&lt;&gt;0,+I100-N100,0)</f>
        <v>0</v>
      </c>
      <c r="P100" s="475">
        <f>+O100-M100</f>
        <v>0</v>
      </c>
    </row>
    <row r="101" spans="1:16">
      <c r="B101" s="160" t="str">
        <f t="shared" ref="B101:B154" si="24">IF(D101=F100,"","IU")</f>
        <v/>
      </c>
      <c r="C101" s="472">
        <f>IF(D93="","-",+C100+1)</f>
        <v>2017</v>
      </c>
      <c r="D101" s="584">
        <v>1655240</v>
      </c>
      <c r="E101" s="585">
        <v>36783</v>
      </c>
      <c r="F101" s="586">
        <v>1618457</v>
      </c>
      <c r="G101" s="586">
        <v>1636848.5</v>
      </c>
      <c r="H101" s="606">
        <v>244421.35953995908</v>
      </c>
      <c r="I101" s="607">
        <v>244421.35953995908</v>
      </c>
      <c r="J101" s="478">
        <f t="shared" ref="J101:J154" si="25">+I101-H101</f>
        <v>0</v>
      </c>
      <c r="K101" s="478"/>
      <c r="L101" s="476">
        <f t="shared" si="21"/>
        <v>244421.35953995908</v>
      </c>
      <c r="M101" s="603">
        <f t="shared" si="22"/>
        <v>0</v>
      </c>
      <c r="N101" s="476">
        <f t="shared" si="23"/>
        <v>244421.35953995908</v>
      </c>
      <c r="O101" s="478">
        <f>IF(N101&lt;&gt;0,+I101-N101,0)</f>
        <v>0</v>
      </c>
      <c r="P101" s="475">
        <f>+O101-M101</f>
        <v>0</v>
      </c>
    </row>
    <row r="102" spans="1:16">
      <c r="B102" s="160" t="str">
        <f t="shared" si="24"/>
        <v/>
      </c>
      <c r="C102" s="472">
        <f>IF(D93="","-",+C101+1)</f>
        <v>2018</v>
      </c>
      <c r="D102" s="584">
        <v>1618457</v>
      </c>
      <c r="E102" s="585">
        <v>39349</v>
      </c>
      <c r="F102" s="586">
        <v>1579108</v>
      </c>
      <c r="G102" s="586">
        <v>1598782.5</v>
      </c>
      <c r="H102" s="606">
        <v>203600.82637045698</v>
      </c>
      <c r="I102" s="607">
        <v>203600.82637045698</v>
      </c>
      <c r="J102" s="478">
        <f t="shared" si="25"/>
        <v>0</v>
      </c>
      <c r="K102" s="478"/>
      <c r="L102" s="476">
        <f t="shared" si="21"/>
        <v>203600.82637045698</v>
      </c>
      <c r="M102" s="603">
        <f t="shared" si="22"/>
        <v>0</v>
      </c>
      <c r="N102" s="476">
        <f t="shared" si="23"/>
        <v>203600.82637045698</v>
      </c>
      <c r="O102" s="478">
        <f>IF(N102&lt;&gt;0,+I102-N102,0)</f>
        <v>0</v>
      </c>
      <c r="P102" s="475">
        <f>+O102-M102</f>
        <v>0</v>
      </c>
    </row>
    <row r="103" spans="1:16">
      <c r="B103" s="160" t="str">
        <f t="shared" si="24"/>
        <v/>
      </c>
      <c r="C103" s="472">
        <f>IF(D93="","-",+C102+1)</f>
        <v>2019</v>
      </c>
      <c r="D103" s="584">
        <v>1579108</v>
      </c>
      <c r="E103" s="585">
        <v>41269</v>
      </c>
      <c r="F103" s="586">
        <v>1537839</v>
      </c>
      <c r="G103" s="586">
        <v>1558473.5</v>
      </c>
      <c r="H103" s="606">
        <v>201969.47712497122</v>
      </c>
      <c r="I103" s="607">
        <v>201969.47712497122</v>
      </c>
      <c r="J103" s="478">
        <f t="shared" si="25"/>
        <v>0</v>
      </c>
      <c r="K103" s="478"/>
      <c r="L103" s="476">
        <f t="shared" si="21"/>
        <v>201969.47712497122</v>
      </c>
      <c r="M103" s="603">
        <f t="shared" si="22"/>
        <v>0</v>
      </c>
      <c r="N103" s="476">
        <f t="shared" si="23"/>
        <v>201969.47712497122</v>
      </c>
      <c r="O103" s="478">
        <f t="shared" si="19"/>
        <v>0</v>
      </c>
      <c r="P103" s="478">
        <f t="shared" si="20"/>
        <v>0</v>
      </c>
    </row>
    <row r="104" spans="1:16">
      <c r="B104" s="160" t="str">
        <f t="shared" si="24"/>
        <v/>
      </c>
      <c r="C104" s="472">
        <f>IF(D93="","-",+C103+1)</f>
        <v>2020</v>
      </c>
      <c r="D104" s="584">
        <v>1537839</v>
      </c>
      <c r="E104" s="585">
        <v>39349</v>
      </c>
      <c r="F104" s="586">
        <v>1498490</v>
      </c>
      <c r="G104" s="586">
        <v>1518164.5</v>
      </c>
      <c r="H104" s="606">
        <v>214389.19300086203</v>
      </c>
      <c r="I104" s="607">
        <v>214389.19300086203</v>
      </c>
      <c r="J104" s="478">
        <f t="shared" si="25"/>
        <v>0</v>
      </c>
      <c r="K104" s="478"/>
      <c r="L104" s="476">
        <f t="shared" si="21"/>
        <v>214389.19300086203</v>
      </c>
      <c r="M104" s="603">
        <f t="shared" si="22"/>
        <v>0</v>
      </c>
      <c r="N104" s="476">
        <f t="shared" si="23"/>
        <v>214389.19300086203</v>
      </c>
      <c r="O104" s="478">
        <f t="shared" si="19"/>
        <v>0</v>
      </c>
      <c r="P104" s="478">
        <f t="shared" si="20"/>
        <v>0</v>
      </c>
    </row>
    <row r="105" spans="1:16">
      <c r="B105" s="160" t="str">
        <f t="shared" si="24"/>
        <v/>
      </c>
      <c r="C105" s="472">
        <f>IF(D93="","-",+C104+1)</f>
        <v>2021</v>
      </c>
      <c r="D105" s="584">
        <v>1498490</v>
      </c>
      <c r="E105" s="585">
        <v>41269</v>
      </c>
      <c r="F105" s="586">
        <v>1457221</v>
      </c>
      <c r="G105" s="586">
        <v>1477855.5</v>
      </c>
      <c r="H105" s="606">
        <v>209438.30504191047</v>
      </c>
      <c r="I105" s="607">
        <v>209438.30504191047</v>
      </c>
      <c r="J105" s="478">
        <f t="shared" si="25"/>
        <v>0</v>
      </c>
      <c r="K105" s="478"/>
      <c r="L105" s="476">
        <f t="shared" si="21"/>
        <v>209438.30504191047</v>
      </c>
      <c r="M105" s="603">
        <f t="shared" si="22"/>
        <v>0</v>
      </c>
      <c r="N105" s="476">
        <f t="shared" si="23"/>
        <v>209438.30504191047</v>
      </c>
      <c r="O105" s="478">
        <f t="shared" si="19"/>
        <v>0</v>
      </c>
      <c r="P105" s="478">
        <f t="shared" si="20"/>
        <v>0</v>
      </c>
    </row>
    <row r="106" spans="1:16">
      <c r="B106" s="160" t="str">
        <f t="shared" si="24"/>
        <v/>
      </c>
      <c r="C106" s="472">
        <f>IF(D93="","-",+C105+1)</f>
        <v>2022</v>
      </c>
      <c r="D106" s="347">
        <f>IF(F105+SUM(E$99:E105)=D$92,F105,D$92-SUM(E$99:E105))</f>
        <v>1457221</v>
      </c>
      <c r="E106" s="484">
        <f t="shared" ref="E106:E154" si="26">IF(+J$96&lt;F105,J$96,D106)</f>
        <v>43385</v>
      </c>
      <c r="F106" s="485">
        <f t="shared" ref="F106:F154" si="27">+D106-E106</f>
        <v>1413836</v>
      </c>
      <c r="G106" s="485">
        <f t="shared" ref="G106:G154" si="28">+(F106+D106)/2</f>
        <v>1435528.5</v>
      </c>
      <c r="H106" s="486">
        <f t="shared" ref="H106:H153" si="29">(D106+F106)/2*J$94+E106</f>
        <v>201555.33840860223</v>
      </c>
      <c r="I106" s="542">
        <f t="shared" ref="I106:I153" si="30">+J$95*G106+E106</f>
        <v>201555.33840860223</v>
      </c>
      <c r="J106" s="478">
        <f t="shared" si="25"/>
        <v>0</v>
      </c>
      <c r="K106" s="478"/>
      <c r="L106" s="487"/>
      <c r="M106" s="478">
        <f t="shared" si="18"/>
        <v>0</v>
      </c>
      <c r="N106" s="487"/>
      <c r="O106" s="478">
        <f t="shared" si="19"/>
        <v>0</v>
      </c>
      <c r="P106" s="478">
        <f t="shared" si="20"/>
        <v>0</v>
      </c>
    </row>
    <row r="107" spans="1:16">
      <c r="B107" s="160" t="str">
        <f t="shared" si="24"/>
        <v/>
      </c>
      <c r="C107" s="472">
        <f>IF(D93="","-",+C106+1)</f>
        <v>2023</v>
      </c>
      <c r="D107" s="347">
        <f>IF(F106+SUM(E$99:E106)=D$92,F106,D$92-SUM(E$99:E106))</f>
        <v>1413836</v>
      </c>
      <c r="E107" s="484">
        <f t="shared" si="26"/>
        <v>43385</v>
      </c>
      <c r="F107" s="485">
        <f t="shared" si="27"/>
        <v>1370451</v>
      </c>
      <c r="G107" s="485">
        <f t="shared" si="28"/>
        <v>1392143.5</v>
      </c>
      <c r="H107" s="486">
        <f t="shared" si="29"/>
        <v>196775.06401359214</v>
      </c>
      <c r="I107" s="542">
        <f t="shared" si="30"/>
        <v>196775.06401359214</v>
      </c>
      <c r="J107" s="478">
        <f t="shared" si="25"/>
        <v>0</v>
      </c>
      <c r="K107" s="478"/>
      <c r="L107" s="487"/>
      <c r="M107" s="478">
        <f t="shared" si="18"/>
        <v>0</v>
      </c>
      <c r="N107" s="487"/>
      <c r="O107" s="478">
        <f t="shared" si="19"/>
        <v>0</v>
      </c>
      <c r="P107" s="478">
        <f t="shared" si="20"/>
        <v>0</v>
      </c>
    </row>
    <row r="108" spans="1:16">
      <c r="B108" s="160" t="str">
        <f t="shared" si="24"/>
        <v/>
      </c>
      <c r="C108" s="472">
        <f>IF(D93="","-",+C107+1)</f>
        <v>2024</v>
      </c>
      <c r="D108" s="347">
        <f>IF(F107+SUM(E$99:E107)=D$92,F107,D$92-SUM(E$99:E107))</f>
        <v>1370451</v>
      </c>
      <c r="E108" s="484">
        <f t="shared" si="26"/>
        <v>43385</v>
      </c>
      <c r="F108" s="485">
        <f t="shared" si="27"/>
        <v>1327066</v>
      </c>
      <c r="G108" s="485">
        <f t="shared" si="28"/>
        <v>1348758.5</v>
      </c>
      <c r="H108" s="486">
        <f t="shared" si="29"/>
        <v>191994.78961858209</v>
      </c>
      <c r="I108" s="542">
        <f t="shared" si="30"/>
        <v>191994.78961858209</v>
      </c>
      <c r="J108" s="478">
        <f t="shared" si="25"/>
        <v>0</v>
      </c>
      <c r="K108" s="478"/>
      <c r="L108" s="487"/>
      <c r="M108" s="478">
        <f t="shared" si="18"/>
        <v>0</v>
      </c>
      <c r="N108" s="487"/>
      <c r="O108" s="478">
        <f t="shared" si="19"/>
        <v>0</v>
      </c>
      <c r="P108" s="478">
        <f t="shared" si="20"/>
        <v>0</v>
      </c>
    </row>
    <row r="109" spans="1:16">
      <c r="B109" s="160" t="str">
        <f t="shared" si="24"/>
        <v/>
      </c>
      <c r="C109" s="472">
        <f>IF(D93="","-",+C108+1)</f>
        <v>2025</v>
      </c>
      <c r="D109" s="347">
        <f>IF(F108+SUM(E$99:E108)=D$92,F108,D$92-SUM(E$99:E108))</f>
        <v>1327066</v>
      </c>
      <c r="E109" s="484">
        <f t="shared" si="26"/>
        <v>43385</v>
      </c>
      <c r="F109" s="485">
        <f t="shared" si="27"/>
        <v>1283681</v>
      </c>
      <c r="G109" s="485">
        <f t="shared" si="28"/>
        <v>1305373.5</v>
      </c>
      <c r="H109" s="486">
        <f t="shared" si="29"/>
        <v>187214.51522357203</v>
      </c>
      <c r="I109" s="542">
        <f t="shared" si="30"/>
        <v>187214.51522357203</v>
      </c>
      <c r="J109" s="478">
        <f t="shared" si="25"/>
        <v>0</v>
      </c>
      <c r="K109" s="478"/>
      <c r="L109" s="487"/>
      <c r="M109" s="478">
        <f t="shared" si="18"/>
        <v>0</v>
      </c>
      <c r="N109" s="487"/>
      <c r="O109" s="478">
        <f t="shared" si="19"/>
        <v>0</v>
      </c>
      <c r="P109" s="478">
        <f t="shared" si="20"/>
        <v>0</v>
      </c>
    </row>
    <row r="110" spans="1:16">
      <c r="B110" s="160" t="str">
        <f t="shared" si="24"/>
        <v/>
      </c>
      <c r="C110" s="472">
        <f>IF(D93="","-",+C109+1)</f>
        <v>2026</v>
      </c>
      <c r="D110" s="347">
        <f>IF(F109+SUM(E$99:E109)=D$92,F109,D$92-SUM(E$99:E109))</f>
        <v>1283681</v>
      </c>
      <c r="E110" s="484">
        <f t="shared" si="26"/>
        <v>43385</v>
      </c>
      <c r="F110" s="485">
        <f t="shared" si="27"/>
        <v>1240296</v>
      </c>
      <c r="G110" s="485">
        <f t="shared" si="28"/>
        <v>1261988.5</v>
      </c>
      <c r="H110" s="486">
        <f t="shared" si="29"/>
        <v>182434.24082856195</v>
      </c>
      <c r="I110" s="542">
        <f t="shared" si="30"/>
        <v>182434.24082856195</v>
      </c>
      <c r="J110" s="478">
        <f t="shared" si="25"/>
        <v>0</v>
      </c>
      <c r="K110" s="478"/>
      <c r="L110" s="487"/>
      <c r="M110" s="478">
        <f t="shared" si="18"/>
        <v>0</v>
      </c>
      <c r="N110" s="487"/>
      <c r="O110" s="478">
        <f t="shared" si="19"/>
        <v>0</v>
      </c>
      <c r="P110" s="478">
        <f t="shared" si="20"/>
        <v>0</v>
      </c>
    </row>
    <row r="111" spans="1:16">
      <c r="B111" s="160" t="str">
        <f t="shared" si="24"/>
        <v/>
      </c>
      <c r="C111" s="472">
        <f>IF(D93="","-",+C110+1)</f>
        <v>2027</v>
      </c>
      <c r="D111" s="347">
        <f>IF(F110+SUM(E$99:E110)=D$92,F110,D$92-SUM(E$99:E110))</f>
        <v>1240296</v>
      </c>
      <c r="E111" s="484">
        <f t="shared" si="26"/>
        <v>43385</v>
      </c>
      <c r="F111" s="485">
        <f t="shared" si="27"/>
        <v>1196911</v>
      </c>
      <c r="G111" s="485">
        <f t="shared" si="28"/>
        <v>1218603.5</v>
      </c>
      <c r="H111" s="486">
        <f t="shared" si="29"/>
        <v>177653.96643355189</v>
      </c>
      <c r="I111" s="542">
        <f t="shared" si="30"/>
        <v>177653.96643355189</v>
      </c>
      <c r="J111" s="478">
        <f t="shared" si="25"/>
        <v>0</v>
      </c>
      <c r="K111" s="478"/>
      <c r="L111" s="487"/>
      <c r="M111" s="478">
        <f t="shared" si="18"/>
        <v>0</v>
      </c>
      <c r="N111" s="487"/>
      <c r="O111" s="478">
        <f t="shared" si="19"/>
        <v>0</v>
      </c>
      <c r="P111" s="478">
        <f t="shared" si="20"/>
        <v>0</v>
      </c>
    </row>
    <row r="112" spans="1:16">
      <c r="B112" s="160" t="str">
        <f t="shared" si="24"/>
        <v/>
      </c>
      <c r="C112" s="472">
        <f>IF(D93="","-",+C111+1)</f>
        <v>2028</v>
      </c>
      <c r="D112" s="347">
        <f>IF(F111+SUM(E$99:E111)=D$92,F111,D$92-SUM(E$99:E111))</f>
        <v>1196911</v>
      </c>
      <c r="E112" s="484">
        <f t="shared" si="26"/>
        <v>43385</v>
      </c>
      <c r="F112" s="485">
        <f t="shared" si="27"/>
        <v>1153526</v>
      </c>
      <c r="G112" s="485">
        <f t="shared" si="28"/>
        <v>1175218.5</v>
      </c>
      <c r="H112" s="486">
        <f t="shared" si="29"/>
        <v>172873.69203854183</v>
      </c>
      <c r="I112" s="542">
        <f t="shared" si="30"/>
        <v>172873.69203854183</v>
      </c>
      <c r="J112" s="478">
        <f t="shared" si="25"/>
        <v>0</v>
      </c>
      <c r="K112" s="478"/>
      <c r="L112" s="487"/>
      <c r="M112" s="478">
        <f t="shared" si="18"/>
        <v>0</v>
      </c>
      <c r="N112" s="487"/>
      <c r="O112" s="478">
        <f t="shared" si="19"/>
        <v>0</v>
      </c>
      <c r="P112" s="478">
        <f t="shared" si="20"/>
        <v>0</v>
      </c>
    </row>
    <row r="113" spans="2:16">
      <c r="B113" s="160" t="str">
        <f t="shared" si="24"/>
        <v/>
      </c>
      <c r="C113" s="472">
        <f>IF(D93="","-",+C112+1)</f>
        <v>2029</v>
      </c>
      <c r="D113" s="347">
        <f>IF(F112+SUM(E$99:E112)=D$92,F112,D$92-SUM(E$99:E112))</f>
        <v>1153526</v>
      </c>
      <c r="E113" s="484">
        <f t="shared" si="26"/>
        <v>43385</v>
      </c>
      <c r="F113" s="485">
        <f t="shared" si="27"/>
        <v>1110141</v>
      </c>
      <c r="G113" s="485">
        <f t="shared" si="28"/>
        <v>1131833.5</v>
      </c>
      <c r="H113" s="486">
        <f t="shared" si="29"/>
        <v>168093.41764353175</v>
      </c>
      <c r="I113" s="542">
        <f t="shared" si="30"/>
        <v>168093.41764353175</v>
      </c>
      <c r="J113" s="478">
        <f t="shared" si="25"/>
        <v>0</v>
      </c>
      <c r="K113" s="478"/>
      <c r="L113" s="487"/>
      <c r="M113" s="478">
        <f t="shared" si="18"/>
        <v>0</v>
      </c>
      <c r="N113" s="487"/>
      <c r="O113" s="478">
        <f t="shared" si="19"/>
        <v>0</v>
      </c>
      <c r="P113" s="478">
        <f t="shared" si="20"/>
        <v>0</v>
      </c>
    </row>
    <row r="114" spans="2:16">
      <c r="B114" s="160" t="str">
        <f t="shared" si="24"/>
        <v/>
      </c>
      <c r="C114" s="472">
        <f>IF(D93="","-",+C113+1)</f>
        <v>2030</v>
      </c>
      <c r="D114" s="347">
        <f>IF(F113+SUM(E$99:E113)=D$92,F113,D$92-SUM(E$99:E113))</f>
        <v>1110141</v>
      </c>
      <c r="E114" s="484">
        <f t="shared" si="26"/>
        <v>43385</v>
      </c>
      <c r="F114" s="485">
        <f t="shared" si="27"/>
        <v>1066756</v>
      </c>
      <c r="G114" s="485">
        <f t="shared" si="28"/>
        <v>1088448.5</v>
      </c>
      <c r="H114" s="486">
        <f t="shared" si="29"/>
        <v>163313.14324852169</v>
      </c>
      <c r="I114" s="542">
        <f t="shared" si="30"/>
        <v>163313.14324852169</v>
      </c>
      <c r="J114" s="478">
        <f t="shared" si="25"/>
        <v>0</v>
      </c>
      <c r="K114" s="478"/>
      <c r="L114" s="487"/>
      <c r="M114" s="478">
        <f t="shared" si="18"/>
        <v>0</v>
      </c>
      <c r="N114" s="487"/>
      <c r="O114" s="478">
        <f t="shared" si="19"/>
        <v>0</v>
      </c>
      <c r="P114" s="478">
        <f t="shared" si="20"/>
        <v>0</v>
      </c>
    </row>
    <row r="115" spans="2:16">
      <c r="B115" s="160" t="str">
        <f t="shared" si="24"/>
        <v/>
      </c>
      <c r="C115" s="472">
        <f>IF(D93="","-",+C114+1)</f>
        <v>2031</v>
      </c>
      <c r="D115" s="347">
        <f>IF(F114+SUM(E$99:E114)=D$92,F114,D$92-SUM(E$99:E114))</f>
        <v>1066756</v>
      </c>
      <c r="E115" s="484">
        <f t="shared" si="26"/>
        <v>43385</v>
      </c>
      <c r="F115" s="485">
        <f t="shared" si="27"/>
        <v>1023371</v>
      </c>
      <c r="G115" s="485">
        <f t="shared" si="28"/>
        <v>1045063.5</v>
      </c>
      <c r="H115" s="486">
        <f t="shared" si="29"/>
        <v>158532.86885351164</v>
      </c>
      <c r="I115" s="542">
        <f t="shared" si="30"/>
        <v>158532.86885351164</v>
      </c>
      <c r="J115" s="478">
        <f t="shared" si="25"/>
        <v>0</v>
      </c>
      <c r="K115" s="478"/>
      <c r="L115" s="487"/>
      <c r="M115" s="478">
        <f t="shared" si="18"/>
        <v>0</v>
      </c>
      <c r="N115" s="487"/>
      <c r="O115" s="478">
        <f t="shared" si="19"/>
        <v>0</v>
      </c>
      <c r="P115" s="478">
        <f t="shared" si="20"/>
        <v>0</v>
      </c>
    </row>
    <row r="116" spans="2:16">
      <c r="B116" s="160" t="str">
        <f t="shared" si="24"/>
        <v/>
      </c>
      <c r="C116" s="472">
        <f>IF(D93="","-",+C115+1)</f>
        <v>2032</v>
      </c>
      <c r="D116" s="347">
        <f>IF(F115+SUM(E$99:E115)=D$92,F115,D$92-SUM(E$99:E115))</f>
        <v>1023371</v>
      </c>
      <c r="E116" s="484">
        <f t="shared" si="26"/>
        <v>43385</v>
      </c>
      <c r="F116" s="485">
        <f t="shared" si="27"/>
        <v>979986</v>
      </c>
      <c r="G116" s="485">
        <f t="shared" si="28"/>
        <v>1001678.5</v>
      </c>
      <c r="H116" s="486">
        <f t="shared" si="29"/>
        <v>153752.59445850155</v>
      </c>
      <c r="I116" s="542">
        <f t="shared" si="30"/>
        <v>153752.59445850155</v>
      </c>
      <c r="J116" s="478">
        <f t="shared" si="25"/>
        <v>0</v>
      </c>
      <c r="K116" s="478"/>
      <c r="L116" s="487"/>
      <c r="M116" s="478">
        <f t="shared" si="18"/>
        <v>0</v>
      </c>
      <c r="N116" s="487"/>
      <c r="O116" s="478">
        <f t="shared" si="19"/>
        <v>0</v>
      </c>
      <c r="P116" s="478">
        <f t="shared" si="20"/>
        <v>0</v>
      </c>
    </row>
    <row r="117" spans="2:16">
      <c r="B117" s="160" t="str">
        <f t="shared" si="24"/>
        <v/>
      </c>
      <c r="C117" s="472">
        <f>IF(D93="","-",+C116+1)</f>
        <v>2033</v>
      </c>
      <c r="D117" s="347">
        <f>IF(F116+SUM(E$99:E116)=D$92,F116,D$92-SUM(E$99:E116))</f>
        <v>979986</v>
      </c>
      <c r="E117" s="484">
        <f t="shared" si="26"/>
        <v>43385</v>
      </c>
      <c r="F117" s="485">
        <f t="shared" si="27"/>
        <v>936601</v>
      </c>
      <c r="G117" s="485">
        <f t="shared" si="28"/>
        <v>958293.5</v>
      </c>
      <c r="H117" s="486">
        <f t="shared" si="29"/>
        <v>148972.3200634915</v>
      </c>
      <c r="I117" s="542">
        <f t="shared" si="30"/>
        <v>148972.3200634915</v>
      </c>
      <c r="J117" s="478">
        <f t="shared" si="25"/>
        <v>0</v>
      </c>
      <c r="K117" s="478"/>
      <c r="L117" s="487"/>
      <c r="M117" s="478">
        <f t="shared" si="18"/>
        <v>0</v>
      </c>
      <c r="N117" s="487"/>
      <c r="O117" s="478">
        <f t="shared" si="19"/>
        <v>0</v>
      </c>
      <c r="P117" s="478">
        <f t="shared" si="20"/>
        <v>0</v>
      </c>
    </row>
    <row r="118" spans="2:16">
      <c r="B118" s="160" t="str">
        <f t="shared" si="24"/>
        <v/>
      </c>
      <c r="C118" s="472">
        <f>IF(D93="","-",+C117+1)</f>
        <v>2034</v>
      </c>
      <c r="D118" s="347">
        <f>IF(F117+SUM(E$99:E117)=D$92,F117,D$92-SUM(E$99:E117))</f>
        <v>936601</v>
      </c>
      <c r="E118" s="484">
        <f t="shared" si="26"/>
        <v>43385</v>
      </c>
      <c r="F118" s="485">
        <f t="shared" si="27"/>
        <v>893216</v>
      </c>
      <c r="G118" s="485">
        <f t="shared" si="28"/>
        <v>914908.5</v>
      </c>
      <c r="H118" s="486">
        <f t="shared" si="29"/>
        <v>144192.04566848144</v>
      </c>
      <c r="I118" s="542">
        <f t="shared" si="30"/>
        <v>144192.04566848144</v>
      </c>
      <c r="J118" s="478">
        <f t="shared" si="25"/>
        <v>0</v>
      </c>
      <c r="K118" s="478"/>
      <c r="L118" s="487"/>
      <c r="M118" s="478">
        <f t="shared" si="18"/>
        <v>0</v>
      </c>
      <c r="N118" s="487"/>
      <c r="O118" s="478">
        <f t="shared" si="19"/>
        <v>0</v>
      </c>
      <c r="P118" s="478">
        <f t="shared" si="20"/>
        <v>0</v>
      </c>
    </row>
    <row r="119" spans="2:16">
      <c r="B119" s="160" t="str">
        <f t="shared" si="24"/>
        <v/>
      </c>
      <c r="C119" s="472">
        <f>IF(D93="","-",+C118+1)</f>
        <v>2035</v>
      </c>
      <c r="D119" s="347">
        <f>IF(F118+SUM(E$99:E118)=D$92,F118,D$92-SUM(E$99:E118))</f>
        <v>893216</v>
      </c>
      <c r="E119" s="484">
        <f t="shared" si="26"/>
        <v>43385</v>
      </c>
      <c r="F119" s="485">
        <f t="shared" si="27"/>
        <v>849831</v>
      </c>
      <c r="G119" s="485">
        <f t="shared" si="28"/>
        <v>871523.5</v>
      </c>
      <c r="H119" s="486">
        <f t="shared" si="29"/>
        <v>139411.77127347136</v>
      </c>
      <c r="I119" s="542">
        <f t="shared" si="30"/>
        <v>139411.77127347136</v>
      </c>
      <c r="J119" s="478">
        <f t="shared" si="25"/>
        <v>0</v>
      </c>
      <c r="K119" s="478"/>
      <c r="L119" s="487"/>
      <c r="M119" s="478">
        <f t="shared" si="18"/>
        <v>0</v>
      </c>
      <c r="N119" s="487"/>
      <c r="O119" s="478">
        <f t="shared" si="19"/>
        <v>0</v>
      </c>
      <c r="P119" s="478">
        <f t="shared" si="20"/>
        <v>0</v>
      </c>
    </row>
    <row r="120" spans="2:16">
      <c r="B120" s="160" t="str">
        <f t="shared" si="24"/>
        <v/>
      </c>
      <c r="C120" s="472">
        <f>IF(D93="","-",+C119+1)</f>
        <v>2036</v>
      </c>
      <c r="D120" s="347">
        <f>IF(F119+SUM(E$99:E119)=D$92,F119,D$92-SUM(E$99:E119))</f>
        <v>849831</v>
      </c>
      <c r="E120" s="484">
        <f t="shared" si="26"/>
        <v>43385</v>
      </c>
      <c r="F120" s="485">
        <f t="shared" si="27"/>
        <v>806446</v>
      </c>
      <c r="G120" s="485">
        <f t="shared" si="28"/>
        <v>828138.5</v>
      </c>
      <c r="H120" s="486">
        <f t="shared" si="29"/>
        <v>134631.4968784613</v>
      </c>
      <c r="I120" s="542">
        <f t="shared" si="30"/>
        <v>134631.4968784613</v>
      </c>
      <c r="J120" s="478">
        <f t="shared" si="25"/>
        <v>0</v>
      </c>
      <c r="K120" s="478"/>
      <c r="L120" s="487"/>
      <c r="M120" s="478">
        <f t="shared" si="18"/>
        <v>0</v>
      </c>
      <c r="N120" s="487"/>
      <c r="O120" s="478">
        <f t="shared" si="19"/>
        <v>0</v>
      </c>
      <c r="P120" s="478">
        <f t="shared" si="20"/>
        <v>0</v>
      </c>
    </row>
    <row r="121" spans="2:16">
      <c r="B121" s="160" t="str">
        <f t="shared" si="24"/>
        <v/>
      </c>
      <c r="C121" s="472">
        <f>IF(D93="","-",+C120+1)</f>
        <v>2037</v>
      </c>
      <c r="D121" s="347">
        <f>IF(F120+SUM(E$99:E120)=D$92,F120,D$92-SUM(E$99:E120))</f>
        <v>806446</v>
      </c>
      <c r="E121" s="484">
        <f t="shared" si="26"/>
        <v>43385</v>
      </c>
      <c r="F121" s="485">
        <f t="shared" si="27"/>
        <v>763061</v>
      </c>
      <c r="G121" s="485">
        <f t="shared" si="28"/>
        <v>784753.5</v>
      </c>
      <c r="H121" s="486">
        <f t="shared" si="29"/>
        <v>129851.22248345123</v>
      </c>
      <c r="I121" s="542">
        <f t="shared" si="30"/>
        <v>129851.22248345123</v>
      </c>
      <c r="J121" s="478">
        <f t="shared" si="25"/>
        <v>0</v>
      </c>
      <c r="K121" s="478"/>
      <c r="L121" s="487"/>
      <c r="M121" s="478">
        <f t="shared" si="18"/>
        <v>0</v>
      </c>
      <c r="N121" s="487"/>
      <c r="O121" s="478">
        <f t="shared" si="19"/>
        <v>0</v>
      </c>
      <c r="P121" s="478">
        <f t="shared" si="20"/>
        <v>0</v>
      </c>
    </row>
    <row r="122" spans="2:16">
      <c r="B122" s="160" t="str">
        <f t="shared" si="24"/>
        <v/>
      </c>
      <c r="C122" s="472">
        <f>IF(D93="","-",+C121+1)</f>
        <v>2038</v>
      </c>
      <c r="D122" s="347">
        <f>IF(F121+SUM(E$99:E121)=D$92,F121,D$92-SUM(E$99:E121))</f>
        <v>763061</v>
      </c>
      <c r="E122" s="484">
        <f t="shared" si="26"/>
        <v>43385</v>
      </c>
      <c r="F122" s="485">
        <f t="shared" si="27"/>
        <v>719676</v>
      </c>
      <c r="G122" s="485">
        <f t="shared" si="28"/>
        <v>741368.5</v>
      </c>
      <c r="H122" s="486">
        <f t="shared" si="29"/>
        <v>125070.94808844116</v>
      </c>
      <c r="I122" s="542">
        <f t="shared" si="30"/>
        <v>125070.94808844116</v>
      </c>
      <c r="J122" s="478">
        <f t="shared" si="25"/>
        <v>0</v>
      </c>
      <c r="K122" s="478"/>
      <c r="L122" s="487"/>
      <c r="M122" s="478">
        <f t="shared" si="18"/>
        <v>0</v>
      </c>
      <c r="N122" s="487"/>
      <c r="O122" s="478">
        <f t="shared" si="19"/>
        <v>0</v>
      </c>
      <c r="P122" s="478">
        <f t="shared" si="20"/>
        <v>0</v>
      </c>
    </row>
    <row r="123" spans="2:16">
      <c r="B123" s="160" t="str">
        <f t="shared" si="24"/>
        <v/>
      </c>
      <c r="C123" s="472">
        <f>IF(D93="","-",+C122+1)</f>
        <v>2039</v>
      </c>
      <c r="D123" s="347">
        <f>IF(F122+SUM(E$99:E122)=D$92,F122,D$92-SUM(E$99:E122))</f>
        <v>719676</v>
      </c>
      <c r="E123" s="484">
        <f t="shared" si="26"/>
        <v>43385</v>
      </c>
      <c r="F123" s="485">
        <f t="shared" si="27"/>
        <v>676291</v>
      </c>
      <c r="G123" s="485">
        <f t="shared" si="28"/>
        <v>697983.5</v>
      </c>
      <c r="H123" s="486">
        <f t="shared" si="29"/>
        <v>120290.6736934311</v>
      </c>
      <c r="I123" s="542">
        <f t="shared" si="30"/>
        <v>120290.6736934311</v>
      </c>
      <c r="J123" s="478">
        <f t="shared" si="25"/>
        <v>0</v>
      </c>
      <c r="K123" s="478"/>
      <c r="L123" s="487"/>
      <c r="M123" s="478">
        <f t="shared" si="18"/>
        <v>0</v>
      </c>
      <c r="N123" s="487"/>
      <c r="O123" s="478">
        <f t="shared" si="19"/>
        <v>0</v>
      </c>
      <c r="P123" s="478">
        <f t="shared" si="20"/>
        <v>0</v>
      </c>
    </row>
    <row r="124" spans="2:16">
      <c r="B124" s="160" t="str">
        <f t="shared" si="24"/>
        <v/>
      </c>
      <c r="C124" s="472">
        <f>IF(D93="","-",+C123+1)</f>
        <v>2040</v>
      </c>
      <c r="D124" s="347">
        <f>IF(F123+SUM(E$99:E123)=D$92,F123,D$92-SUM(E$99:E123))</f>
        <v>676291</v>
      </c>
      <c r="E124" s="484">
        <f t="shared" si="26"/>
        <v>43385</v>
      </c>
      <c r="F124" s="485">
        <f t="shared" si="27"/>
        <v>632906</v>
      </c>
      <c r="G124" s="485">
        <f t="shared" si="28"/>
        <v>654598.5</v>
      </c>
      <c r="H124" s="486">
        <f t="shared" si="29"/>
        <v>115510.39929842103</v>
      </c>
      <c r="I124" s="542">
        <f t="shared" si="30"/>
        <v>115510.39929842103</v>
      </c>
      <c r="J124" s="478">
        <f t="shared" si="25"/>
        <v>0</v>
      </c>
      <c r="K124" s="478"/>
      <c r="L124" s="487"/>
      <c r="M124" s="478">
        <f t="shared" si="18"/>
        <v>0</v>
      </c>
      <c r="N124" s="487"/>
      <c r="O124" s="478">
        <f t="shared" si="19"/>
        <v>0</v>
      </c>
      <c r="P124" s="478">
        <f t="shared" si="20"/>
        <v>0</v>
      </c>
    </row>
    <row r="125" spans="2:16">
      <c r="B125" s="160" t="str">
        <f t="shared" si="24"/>
        <v/>
      </c>
      <c r="C125" s="472">
        <f>IF(D93="","-",+C124+1)</f>
        <v>2041</v>
      </c>
      <c r="D125" s="347">
        <f>IF(F124+SUM(E$99:E124)=D$92,F124,D$92-SUM(E$99:E124))</f>
        <v>632906</v>
      </c>
      <c r="E125" s="484">
        <f t="shared" si="26"/>
        <v>43385</v>
      </c>
      <c r="F125" s="485">
        <f t="shared" si="27"/>
        <v>589521</v>
      </c>
      <c r="G125" s="485">
        <f t="shared" si="28"/>
        <v>611213.5</v>
      </c>
      <c r="H125" s="486">
        <f t="shared" si="29"/>
        <v>110730.12490341096</v>
      </c>
      <c r="I125" s="542">
        <f t="shared" si="30"/>
        <v>110730.12490341096</v>
      </c>
      <c r="J125" s="478">
        <f t="shared" si="25"/>
        <v>0</v>
      </c>
      <c r="K125" s="478"/>
      <c r="L125" s="487"/>
      <c r="M125" s="478">
        <f t="shared" si="18"/>
        <v>0</v>
      </c>
      <c r="N125" s="487"/>
      <c r="O125" s="478">
        <f t="shared" si="19"/>
        <v>0</v>
      </c>
      <c r="P125" s="478">
        <f t="shared" si="20"/>
        <v>0</v>
      </c>
    </row>
    <row r="126" spans="2:16">
      <c r="B126" s="160" t="str">
        <f t="shared" si="24"/>
        <v/>
      </c>
      <c r="C126" s="472">
        <f>IF(D93="","-",+C125+1)</f>
        <v>2042</v>
      </c>
      <c r="D126" s="347">
        <f>IF(F125+SUM(E$99:E125)=D$92,F125,D$92-SUM(E$99:E125))</f>
        <v>589521</v>
      </c>
      <c r="E126" s="484">
        <f t="shared" si="26"/>
        <v>43385</v>
      </c>
      <c r="F126" s="485">
        <f t="shared" si="27"/>
        <v>546136</v>
      </c>
      <c r="G126" s="485">
        <f t="shared" si="28"/>
        <v>567828.5</v>
      </c>
      <c r="H126" s="486">
        <f t="shared" si="29"/>
        <v>105949.85050840091</v>
      </c>
      <c r="I126" s="542">
        <f t="shared" si="30"/>
        <v>105949.85050840091</v>
      </c>
      <c r="J126" s="478">
        <f t="shared" si="25"/>
        <v>0</v>
      </c>
      <c r="K126" s="478"/>
      <c r="L126" s="487"/>
      <c r="M126" s="478">
        <f t="shared" si="18"/>
        <v>0</v>
      </c>
      <c r="N126" s="487"/>
      <c r="O126" s="478">
        <f t="shared" si="19"/>
        <v>0</v>
      </c>
      <c r="P126" s="478">
        <f t="shared" si="20"/>
        <v>0</v>
      </c>
    </row>
    <row r="127" spans="2:16">
      <c r="B127" s="160" t="str">
        <f t="shared" si="24"/>
        <v/>
      </c>
      <c r="C127" s="472">
        <f>IF(D93="","-",+C126+1)</f>
        <v>2043</v>
      </c>
      <c r="D127" s="347">
        <f>IF(F126+SUM(E$99:E126)=D$92,F126,D$92-SUM(E$99:E126))</f>
        <v>546136</v>
      </c>
      <c r="E127" s="484">
        <f t="shared" si="26"/>
        <v>43385</v>
      </c>
      <c r="F127" s="485">
        <f t="shared" si="27"/>
        <v>502751</v>
      </c>
      <c r="G127" s="485">
        <f t="shared" si="28"/>
        <v>524443.5</v>
      </c>
      <c r="H127" s="486">
        <f t="shared" si="29"/>
        <v>101169.57611339084</v>
      </c>
      <c r="I127" s="542">
        <f t="shared" si="30"/>
        <v>101169.57611339084</v>
      </c>
      <c r="J127" s="478">
        <f t="shared" si="25"/>
        <v>0</v>
      </c>
      <c r="K127" s="478"/>
      <c r="L127" s="487"/>
      <c r="M127" s="478">
        <f t="shared" si="18"/>
        <v>0</v>
      </c>
      <c r="N127" s="487"/>
      <c r="O127" s="478">
        <f t="shared" si="19"/>
        <v>0</v>
      </c>
      <c r="P127" s="478">
        <f t="shared" si="20"/>
        <v>0</v>
      </c>
    </row>
    <row r="128" spans="2:16">
      <c r="B128" s="160" t="str">
        <f t="shared" si="24"/>
        <v/>
      </c>
      <c r="C128" s="472">
        <f>IF(D93="","-",+C127+1)</f>
        <v>2044</v>
      </c>
      <c r="D128" s="347">
        <f>IF(F127+SUM(E$99:E127)=D$92,F127,D$92-SUM(E$99:E127))</f>
        <v>502751</v>
      </c>
      <c r="E128" s="484">
        <f t="shared" si="26"/>
        <v>43385</v>
      </c>
      <c r="F128" s="485">
        <f t="shared" si="27"/>
        <v>459366</v>
      </c>
      <c r="G128" s="485">
        <f t="shared" si="28"/>
        <v>481058.5</v>
      </c>
      <c r="H128" s="486">
        <f t="shared" si="29"/>
        <v>96389.301718380768</v>
      </c>
      <c r="I128" s="542">
        <f t="shared" si="30"/>
        <v>96389.301718380768</v>
      </c>
      <c r="J128" s="478">
        <f t="shared" si="25"/>
        <v>0</v>
      </c>
      <c r="K128" s="478"/>
      <c r="L128" s="487"/>
      <c r="M128" s="478">
        <f t="shared" si="18"/>
        <v>0</v>
      </c>
      <c r="N128" s="487"/>
      <c r="O128" s="478">
        <f t="shared" si="19"/>
        <v>0</v>
      </c>
      <c r="P128" s="478">
        <f t="shared" si="20"/>
        <v>0</v>
      </c>
    </row>
    <row r="129" spans="2:16">
      <c r="B129" s="160" t="str">
        <f t="shared" si="24"/>
        <v/>
      </c>
      <c r="C129" s="472">
        <f>IF(D93="","-",+C128+1)</f>
        <v>2045</v>
      </c>
      <c r="D129" s="347">
        <f>IF(F128+SUM(E$99:E128)=D$92,F128,D$92-SUM(E$99:E128))</f>
        <v>459366</v>
      </c>
      <c r="E129" s="484">
        <f t="shared" si="26"/>
        <v>43385</v>
      </c>
      <c r="F129" s="485">
        <f t="shared" si="27"/>
        <v>415981</v>
      </c>
      <c r="G129" s="485">
        <f t="shared" si="28"/>
        <v>437673.5</v>
      </c>
      <c r="H129" s="486">
        <f t="shared" si="29"/>
        <v>91609.027323370712</v>
      </c>
      <c r="I129" s="542">
        <f t="shared" si="30"/>
        <v>91609.027323370712</v>
      </c>
      <c r="J129" s="478">
        <f t="shared" si="25"/>
        <v>0</v>
      </c>
      <c r="K129" s="478"/>
      <c r="L129" s="487"/>
      <c r="M129" s="478">
        <f t="shared" si="18"/>
        <v>0</v>
      </c>
      <c r="N129" s="487"/>
      <c r="O129" s="478">
        <f t="shared" si="19"/>
        <v>0</v>
      </c>
      <c r="P129" s="478">
        <f t="shared" si="20"/>
        <v>0</v>
      </c>
    </row>
    <row r="130" spans="2:16">
      <c r="B130" s="160" t="str">
        <f t="shared" si="24"/>
        <v/>
      </c>
      <c r="C130" s="472">
        <f>IF(D93="","-",+C129+1)</f>
        <v>2046</v>
      </c>
      <c r="D130" s="347">
        <f>IF(F129+SUM(E$99:E129)=D$92,F129,D$92-SUM(E$99:E129))</f>
        <v>415981</v>
      </c>
      <c r="E130" s="484">
        <f t="shared" si="26"/>
        <v>43385</v>
      </c>
      <c r="F130" s="485">
        <f t="shared" si="27"/>
        <v>372596</v>
      </c>
      <c r="G130" s="485">
        <f t="shared" si="28"/>
        <v>394288.5</v>
      </c>
      <c r="H130" s="486">
        <f t="shared" si="29"/>
        <v>86828.752928360642</v>
      </c>
      <c r="I130" s="542">
        <f t="shared" si="30"/>
        <v>86828.752928360642</v>
      </c>
      <c r="J130" s="478">
        <f t="shared" si="25"/>
        <v>0</v>
      </c>
      <c r="K130" s="478"/>
      <c r="L130" s="487"/>
      <c r="M130" s="478">
        <f t="shared" si="18"/>
        <v>0</v>
      </c>
      <c r="N130" s="487"/>
      <c r="O130" s="478">
        <f t="shared" si="19"/>
        <v>0</v>
      </c>
      <c r="P130" s="478">
        <f t="shared" si="20"/>
        <v>0</v>
      </c>
    </row>
    <row r="131" spans="2:16">
      <c r="B131" s="160" t="str">
        <f t="shared" si="24"/>
        <v/>
      </c>
      <c r="C131" s="472">
        <f>IF(D93="","-",+C130+1)</f>
        <v>2047</v>
      </c>
      <c r="D131" s="347">
        <f>IF(F130+SUM(E$99:E130)=D$92,F130,D$92-SUM(E$99:E130))</f>
        <v>372596</v>
      </c>
      <c r="E131" s="484">
        <f t="shared" si="26"/>
        <v>43385</v>
      </c>
      <c r="F131" s="485">
        <f t="shared" si="27"/>
        <v>329211</v>
      </c>
      <c r="G131" s="485">
        <f t="shared" si="28"/>
        <v>350903.5</v>
      </c>
      <c r="H131" s="486">
        <f t="shared" si="29"/>
        <v>82048.478533350572</v>
      </c>
      <c r="I131" s="542">
        <f t="shared" si="30"/>
        <v>82048.478533350572</v>
      </c>
      <c r="J131" s="478">
        <f t="shared" si="25"/>
        <v>0</v>
      </c>
      <c r="K131" s="478"/>
      <c r="L131" s="487"/>
      <c r="M131" s="478">
        <f t="shared" ref="M131:M154" si="31">IF(L541&lt;&gt;0,+H541-L541,0)</f>
        <v>0</v>
      </c>
      <c r="N131" s="487"/>
      <c r="O131" s="478">
        <f t="shared" ref="O131:O154" si="32">IF(N541&lt;&gt;0,+I541-N541,0)</f>
        <v>0</v>
      </c>
      <c r="P131" s="478">
        <f t="shared" ref="P131:P154" si="33">+O541-M541</f>
        <v>0</v>
      </c>
    </row>
    <row r="132" spans="2:16">
      <c r="B132" s="160" t="str">
        <f t="shared" si="24"/>
        <v/>
      </c>
      <c r="C132" s="472">
        <f>IF(D93="","-",+C131+1)</f>
        <v>2048</v>
      </c>
      <c r="D132" s="347">
        <f>IF(F131+SUM(E$99:E131)=D$92,F131,D$92-SUM(E$99:E131))</f>
        <v>329211</v>
      </c>
      <c r="E132" s="484">
        <f t="shared" si="26"/>
        <v>43385</v>
      </c>
      <c r="F132" s="485">
        <f t="shared" si="27"/>
        <v>285826</v>
      </c>
      <c r="G132" s="485">
        <f t="shared" si="28"/>
        <v>307518.5</v>
      </c>
      <c r="H132" s="486">
        <f t="shared" si="29"/>
        <v>77268.204138340516</v>
      </c>
      <c r="I132" s="542">
        <f t="shared" si="30"/>
        <v>77268.204138340516</v>
      </c>
      <c r="J132" s="478">
        <f t="shared" si="25"/>
        <v>0</v>
      </c>
      <c r="K132" s="478"/>
      <c r="L132" s="487"/>
      <c r="M132" s="478">
        <f t="shared" si="31"/>
        <v>0</v>
      </c>
      <c r="N132" s="487"/>
      <c r="O132" s="478">
        <f t="shared" si="32"/>
        <v>0</v>
      </c>
      <c r="P132" s="478">
        <f t="shared" si="33"/>
        <v>0</v>
      </c>
    </row>
    <row r="133" spans="2:16">
      <c r="B133" s="160" t="str">
        <f t="shared" si="24"/>
        <v/>
      </c>
      <c r="C133" s="472">
        <f>IF(D93="","-",+C132+1)</f>
        <v>2049</v>
      </c>
      <c r="D133" s="347">
        <f>IF(F132+SUM(E$99:E132)=D$92,F132,D$92-SUM(E$99:E132))</f>
        <v>285826</v>
      </c>
      <c r="E133" s="484">
        <f t="shared" si="26"/>
        <v>43385</v>
      </c>
      <c r="F133" s="485">
        <f t="shared" si="27"/>
        <v>242441</v>
      </c>
      <c r="G133" s="485">
        <f t="shared" si="28"/>
        <v>264133.5</v>
      </c>
      <c r="H133" s="486">
        <f t="shared" si="29"/>
        <v>72487.929743330445</v>
      </c>
      <c r="I133" s="542">
        <f t="shared" si="30"/>
        <v>72487.929743330445</v>
      </c>
      <c r="J133" s="478">
        <f t="shared" si="25"/>
        <v>0</v>
      </c>
      <c r="K133" s="478"/>
      <c r="L133" s="487"/>
      <c r="M133" s="478">
        <f t="shared" si="31"/>
        <v>0</v>
      </c>
      <c r="N133" s="487"/>
      <c r="O133" s="478">
        <f t="shared" si="32"/>
        <v>0</v>
      </c>
      <c r="P133" s="478">
        <f t="shared" si="33"/>
        <v>0</v>
      </c>
    </row>
    <row r="134" spans="2:16">
      <c r="B134" s="160" t="str">
        <f t="shared" si="24"/>
        <v/>
      </c>
      <c r="C134" s="472">
        <f>IF(D93="","-",+C133+1)</f>
        <v>2050</v>
      </c>
      <c r="D134" s="347">
        <f>IF(F133+SUM(E$99:E133)=D$92,F133,D$92-SUM(E$99:E133))</f>
        <v>242441</v>
      </c>
      <c r="E134" s="484">
        <f t="shared" si="26"/>
        <v>43385</v>
      </c>
      <c r="F134" s="485">
        <f t="shared" si="27"/>
        <v>199056</v>
      </c>
      <c r="G134" s="485">
        <f t="shared" si="28"/>
        <v>220748.5</v>
      </c>
      <c r="H134" s="486">
        <f t="shared" si="29"/>
        <v>67707.655348320375</v>
      </c>
      <c r="I134" s="542">
        <f t="shared" si="30"/>
        <v>67707.655348320375</v>
      </c>
      <c r="J134" s="478">
        <f t="shared" si="25"/>
        <v>0</v>
      </c>
      <c r="K134" s="478"/>
      <c r="L134" s="487"/>
      <c r="M134" s="478">
        <f t="shared" si="31"/>
        <v>0</v>
      </c>
      <c r="N134" s="487"/>
      <c r="O134" s="478">
        <f t="shared" si="32"/>
        <v>0</v>
      </c>
      <c r="P134" s="478">
        <f t="shared" si="33"/>
        <v>0</v>
      </c>
    </row>
    <row r="135" spans="2:16">
      <c r="B135" s="160" t="str">
        <f t="shared" si="24"/>
        <v/>
      </c>
      <c r="C135" s="472">
        <f>IF(D93="","-",+C134+1)</f>
        <v>2051</v>
      </c>
      <c r="D135" s="347">
        <f>IF(F134+SUM(E$99:E134)=D$92,F134,D$92-SUM(E$99:E134))</f>
        <v>199056</v>
      </c>
      <c r="E135" s="484">
        <f t="shared" si="26"/>
        <v>43385</v>
      </c>
      <c r="F135" s="485">
        <f t="shared" si="27"/>
        <v>155671</v>
      </c>
      <c r="G135" s="485">
        <f t="shared" si="28"/>
        <v>177363.5</v>
      </c>
      <c r="H135" s="486">
        <f t="shared" si="29"/>
        <v>62927.380953310305</v>
      </c>
      <c r="I135" s="542">
        <f t="shared" si="30"/>
        <v>62927.380953310305</v>
      </c>
      <c r="J135" s="478">
        <f t="shared" si="25"/>
        <v>0</v>
      </c>
      <c r="K135" s="478"/>
      <c r="L135" s="487"/>
      <c r="M135" s="478">
        <f t="shared" si="31"/>
        <v>0</v>
      </c>
      <c r="N135" s="487"/>
      <c r="O135" s="478">
        <f t="shared" si="32"/>
        <v>0</v>
      </c>
      <c r="P135" s="478">
        <f t="shared" si="33"/>
        <v>0</v>
      </c>
    </row>
    <row r="136" spans="2:16">
      <c r="B136" s="160" t="str">
        <f t="shared" si="24"/>
        <v/>
      </c>
      <c r="C136" s="472">
        <f>IF(D93="","-",+C135+1)</f>
        <v>2052</v>
      </c>
      <c r="D136" s="347">
        <f>IF(F135+SUM(E$99:E135)=D$92,F135,D$92-SUM(E$99:E135))</f>
        <v>155671</v>
      </c>
      <c r="E136" s="484">
        <f t="shared" si="26"/>
        <v>43385</v>
      </c>
      <c r="F136" s="485">
        <f t="shared" si="27"/>
        <v>112286</v>
      </c>
      <c r="G136" s="485">
        <f t="shared" si="28"/>
        <v>133978.5</v>
      </c>
      <c r="H136" s="486">
        <f t="shared" si="29"/>
        <v>58147.106558300242</v>
      </c>
      <c r="I136" s="542">
        <f t="shared" si="30"/>
        <v>58147.106558300242</v>
      </c>
      <c r="J136" s="478">
        <f t="shared" si="25"/>
        <v>0</v>
      </c>
      <c r="K136" s="478"/>
      <c r="L136" s="487"/>
      <c r="M136" s="478">
        <f t="shared" si="31"/>
        <v>0</v>
      </c>
      <c r="N136" s="487"/>
      <c r="O136" s="478">
        <f t="shared" si="32"/>
        <v>0</v>
      </c>
      <c r="P136" s="478">
        <f t="shared" si="33"/>
        <v>0</v>
      </c>
    </row>
    <row r="137" spans="2:16">
      <c r="B137" s="160" t="str">
        <f t="shared" si="24"/>
        <v/>
      </c>
      <c r="C137" s="472">
        <f>IF(D93="","-",+C136+1)</f>
        <v>2053</v>
      </c>
      <c r="D137" s="347">
        <f>IF(F136+SUM(E$99:E136)=D$92,F136,D$92-SUM(E$99:E136))</f>
        <v>112286</v>
      </c>
      <c r="E137" s="484">
        <f t="shared" si="26"/>
        <v>43385</v>
      </c>
      <c r="F137" s="485">
        <f t="shared" si="27"/>
        <v>68901</v>
      </c>
      <c r="G137" s="485">
        <f t="shared" si="28"/>
        <v>90593.5</v>
      </c>
      <c r="H137" s="486">
        <f t="shared" si="29"/>
        <v>53366.832163290179</v>
      </c>
      <c r="I137" s="542">
        <f t="shared" si="30"/>
        <v>53366.832163290179</v>
      </c>
      <c r="J137" s="478">
        <f t="shared" si="25"/>
        <v>0</v>
      </c>
      <c r="K137" s="478"/>
      <c r="L137" s="487"/>
      <c r="M137" s="478">
        <f t="shared" si="31"/>
        <v>0</v>
      </c>
      <c r="N137" s="487"/>
      <c r="O137" s="478">
        <f t="shared" si="32"/>
        <v>0</v>
      </c>
      <c r="P137" s="478">
        <f t="shared" si="33"/>
        <v>0</v>
      </c>
    </row>
    <row r="138" spans="2:16">
      <c r="B138" s="160" t="str">
        <f t="shared" si="24"/>
        <v/>
      </c>
      <c r="C138" s="472">
        <f>IF(D93="","-",+C137+1)</f>
        <v>2054</v>
      </c>
      <c r="D138" s="347">
        <f>IF(F137+SUM(E$99:E137)=D$92,F137,D$92-SUM(E$99:E137))</f>
        <v>68901</v>
      </c>
      <c r="E138" s="484">
        <f t="shared" si="26"/>
        <v>43385</v>
      </c>
      <c r="F138" s="485">
        <f t="shared" si="27"/>
        <v>25516</v>
      </c>
      <c r="G138" s="485">
        <f t="shared" si="28"/>
        <v>47208.5</v>
      </c>
      <c r="H138" s="486">
        <f t="shared" si="29"/>
        <v>48586.557768280116</v>
      </c>
      <c r="I138" s="542">
        <f t="shared" si="30"/>
        <v>48586.557768280116</v>
      </c>
      <c r="J138" s="478">
        <f t="shared" si="25"/>
        <v>0</v>
      </c>
      <c r="K138" s="478"/>
      <c r="L138" s="487"/>
      <c r="M138" s="478">
        <f t="shared" si="31"/>
        <v>0</v>
      </c>
      <c r="N138" s="487"/>
      <c r="O138" s="478">
        <f t="shared" si="32"/>
        <v>0</v>
      </c>
      <c r="P138" s="478">
        <f t="shared" si="33"/>
        <v>0</v>
      </c>
    </row>
    <row r="139" spans="2:16">
      <c r="B139" s="160" t="str">
        <f t="shared" si="24"/>
        <v/>
      </c>
      <c r="C139" s="472">
        <f>IF(D93="","-",+C138+1)</f>
        <v>2055</v>
      </c>
      <c r="D139" s="347">
        <f>IF(F138+SUM(E$99:E138)=D$92,F138,D$92-SUM(E$99:E138))</f>
        <v>25516</v>
      </c>
      <c r="E139" s="484">
        <f t="shared" si="26"/>
        <v>25516</v>
      </c>
      <c r="F139" s="485">
        <f t="shared" si="27"/>
        <v>0</v>
      </c>
      <c r="G139" s="485">
        <f t="shared" si="28"/>
        <v>12758</v>
      </c>
      <c r="H139" s="486">
        <f t="shared" si="29"/>
        <v>26921.71028538754</v>
      </c>
      <c r="I139" s="542">
        <f t="shared" si="30"/>
        <v>26921.71028538754</v>
      </c>
      <c r="J139" s="478">
        <f t="shared" si="25"/>
        <v>0</v>
      </c>
      <c r="K139" s="478"/>
      <c r="L139" s="487"/>
      <c r="M139" s="478">
        <f t="shared" si="31"/>
        <v>0</v>
      </c>
      <c r="N139" s="487"/>
      <c r="O139" s="478">
        <f t="shared" si="32"/>
        <v>0</v>
      </c>
      <c r="P139" s="478">
        <f t="shared" si="33"/>
        <v>0</v>
      </c>
    </row>
    <row r="140" spans="2:16">
      <c r="B140" s="160" t="str">
        <f t="shared" si="24"/>
        <v/>
      </c>
      <c r="C140" s="472">
        <f>IF(D93="","-",+C139+1)</f>
        <v>2056</v>
      </c>
      <c r="D140" s="347">
        <f>IF(F139+SUM(E$99:E139)=D$92,F139,D$92-SUM(E$99:E139))</f>
        <v>0</v>
      </c>
      <c r="E140" s="484">
        <f t="shared" si="26"/>
        <v>0</v>
      </c>
      <c r="F140" s="485">
        <f t="shared" si="27"/>
        <v>0</v>
      </c>
      <c r="G140" s="485">
        <f t="shared" si="28"/>
        <v>0</v>
      </c>
      <c r="H140" s="486">
        <f t="shared" si="29"/>
        <v>0</v>
      </c>
      <c r="I140" s="542">
        <f t="shared" si="30"/>
        <v>0</v>
      </c>
      <c r="J140" s="478">
        <f t="shared" si="25"/>
        <v>0</v>
      </c>
      <c r="K140" s="478"/>
      <c r="L140" s="487"/>
      <c r="M140" s="478">
        <f t="shared" si="31"/>
        <v>0</v>
      </c>
      <c r="N140" s="487"/>
      <c r="O140" s="478">
        <f t="shared" si="32"/>
        <v>0</v>
      </c>
      <c r="P140" s="478">
        <f t="shared" si="33"/>
        <v>0</v>
      </c>
    </row>
    <row r="141" spans="2:16">
      <c r="B141" s="160" t="str">
        <f t="shared" si="24"/>
        <v/>
      </c>
      <c r="C141" s="472">
        <f>IF(D93="","-",+C140+1)</f>
        <v>2057</v>
      </c>
      <c r="D141" s="347">
        <f>IF(F140+SUM(E$99:E140)=D$92,F140,D$92-SUM(E$99:E140))</f>
        <v>0</v>
      </c>
      <c r="E141" s="484">
        <f t="shared" si="26"/>
        <v>0</v>
      </c>
      <c r="F141" s="485">
        <f t="shared" si="27"/>
        <v>0</v>
      </c>
      <c r="G141" s="485">
        <f t="shared" si="28"/>
        <v>0</v>
      </c>
      <c r="H141" s="486">
        <f t="shared" si="29"/>
        <v>0</v>
      </c>
      <c r="I141" s="542">
        <f t="shared" si="30"/>
        <v>0</v>
      </c>
      <c r="J141" s="478">
        <f t="shared" si="25"/>
        <v>0</v>
      </c>
      <c r="K141" s="478"/>
      <c r="L141" s="487"/>
      <c r="M141" s="478">
        <f t="shared" si="31"/>
        <v>0</v>
      </c>
      <c r="N141" s="487"/>
      <c r="O141" s="478">
        <f t="shared" si="32"/>
        <v>0</v>
      </c>
      <c r="P141" s="478">
        <f t="shared" si="33"/>
        <v>0</v>
      </c>
    </row>
    <row r="142" spans="2:16">
      <c r="B142" s="160" t="str">
        <f t="shared" si="24"/>
        <v/>
      </c>
      <c r="C142" s="472">
        <f>IF(D93="","-",+C141+1)</f>
        <v>2058</v>
      </c>
      <c r="D142" s="347">
        <f>IF(F141+SUM(E$99:E141)=D$92,F141,D$92-SUM(E$99:E141))</f>
        <v>0</v>
      </c>
      <c r="E142" s="484">
        <f t="shared" si="26"/>
        <v>0</v>
      </c>
      <c r="F142" s="485">
        <f t="shared" si="27"/>
        <v>0</v>
      </c>
      <c r="G142" s="485">
        <f t="shared" si="28"/>
        <v>0</v>
      </c>
      <c r="H142" s="486">
        <f t="shared" si="29"/>
        <v>0</v>
      </c>
      <c r="I142" s="542">
        <f t="shared" si="30"/>
        <v>0</v>
      </c>
      <c r="J142" s="478">
        <f t="shared" si="25"/>
        <v>0</v>
      </c>
      <c r="K142" s="478"/>
      <c r="L142" s="487"/>
      <c r="M142" s="478">
        <f t="shared" si="31"/>
        <v>0</v>
      </c>
      <c r="N142" s="487"/>
      <c r="O142" s="478">
        <f t="shared" si="32"/>
        <v>0</v>
      </c>
      <c r="P142" s="478">
        <f t="shared" si="33"/>
        <v>0</v>
      </c>
    </row>
    <row r="143" spans="2:16">
      <c r="B143" s="160" t="str">
        <f t="shared" si="24"/>
        <v/>
      </c>
      <c r="C143" s="472">
        <f>IF(D93="","-",+C142+1)</f>
        <v>2059</v>
      </c>
      <c r="D143" s="347">
        <f>IF(F142+SUM(E$99:E142)=D$92,F142,D$92-SUM(E$99:E142))</f>
        <v>0</v>
      </c>
      <c r="E143" s="484">
        <f t="shared" si="26"/>
        <v>0</v>
      </c>
      <c r="F143" s="485">
        <f t="shared" si="27"/>
        <v>0</v>
      </c>
      <c r="G143" s="485">
        <f t="shared" si="28"/>
        <v>0</v>
      </c>
      <c r="H143" s="486">
        <f t="shared" si="29"/>
        <v>0</v>
      </c>
      <c r="I143" s="542">
        <f t="shared" si="30"/>
        <v>0</v>
      </c>
      <c r="J143" s="478">
        <f t="shared" si="25"/>
        <v>0</v>
      </c>
      <c r="K143" s="478"/>
      <c r="L143" s="487"/>
      <c r="M143" s="478">
        <f t="shared" si="31"/>
        <v>0</v>
      </c>
      <c r="N143" s="487"/>
      <c r="O143" s="478">
        <f t="shared" si="32"/>
        <v>0</v>
      </c>
      <c r="P143" s="478">
        <f t="shared" si="33"/>
        <v>0</v>
      </c>
    </row>
    <row r="144" spans="2:16">
      <c r="B144" s="160" t="str">
        <f t="shared" si="24"/>
        <v/>
      </c>
      <c r="C144" s="472">
        <f>IF(D93="","-",+C143+1)</f>
        <v>2060</v>
      </c>
      <c r="D144" s="347">
        <f>IF(F143+SUM(E$99:E143)=D$92,F143,D$92-SUM(E$99:E143))</f>
        <v>0</v>
      </c>
      <c r="E144" s="484">
        <f t="shared" si="26"/>
        <v>0</v>
      </c>
      <c r="F144" s="485">
        <f t="shared" si="27"/>
        <v>0</v>
      </c>
      <c r="G144" s="485">
        <f t="shared" si="28"/>
        <v>0</v>
      </c>
      <c r="H144" s="486">
        <f t="shared" si="29"/>
        <v>0</v>
      </c>
      <c r="I144" s="542">
        <f t="shared" si="30"/>
        <v>0</v>
      </c>
      <c r="J144" s="478">
        <f t="shared" si="25"/>
        <v>0</v>
      </c>
      <c r="K144" s="478"/>
      <c r="L144" s="487"/>
      <c r="M144" s="478">
        <f t="shared" si="31"/>
        <v>0</v>
      </c>
      <c r="N144" s="487"/>
      <c r="O144" s="478">
        <f t="shared" si="32"/>
        <v>0</v>
      </c>
      <c r="P144" s="478">
        <f t="shared" si="33"/>
        <v>0</v>
      </c>
    </row>
    <row r="145" spans="2:16">
      <c r="B145" s="160" t="str">
        <f t="shared" si="24"/>
        <v/>
      </c>
      <c r="C145" s="472">
        <f>IF(D93="","-",+C144+1)</f>
        <v>2061</v>
      </c>
      <c r="D145" s="347">
        <f>IF(F144+SUM(E$99:E144)=D$92,F144,D$92-SUM(E$99:E144))</f>
        <v>0</v>
      </c>
      <c r="E145" s="484">
        <f t="shared" si="26"/>
        <v>0</v>
      </c>
      <c r="F145" s="485">
        <f t="shared" si="27"/>
        <v>0</v>
      </c>
      <c r="G145" s="485">
        <f t="shared" si="28"/>
        <v>0</v>
      </c>
      <c r="H145" s="486">
        <f t="shared" si="29"/>
        <v>0</v>
      </c>
      <c r="I145" s="542">
        <f t="shared" si="30"/>
        <v>0</v>
      </c>
      <c r="J145" s="478">
        <f t="shared" si="25"/>
        <v>0</v>
      </c>
      <c r="K145" s="478"/>
      <c r="L145" s="487"/>
      <c r="M145" s="478">
        <f t="shared" si="31"/>
        <v>0</v>
      </c>
      <c r="N145" s="487"/>
      <c r="O145" s="478">
        <f t="shared" si="32"/>
        <v>0</v>
      </c>
      <c r="P145" s="478">
        <f t="shared" si="33"/>
        <v>0</v>
      </c>
    </row>
    <row r="146" spans="2:16">
      <c r="B146" s="160" t="str">
        <f t="shared" si="24"/>
        <v/>
      </c>
      <c r="C146" s="472">
        <f>IF(D93="","-",+C145+1)</f>
        <v>2062</v>
      </c>
      <c r="D146" s="347">
        <f>IF(F145+SUM(E$99:E145)=D$92,F145,D$92-SUM(E$99:E145))</f>
        <v>0</v>
      </c>
      <c r="E146" s="484">
        <f t="shared" si="26"/>
        <v>0</v>
      </c>
      <c r="F146" s="485">
        <f t="shared" si="27"/>
        <v>0</v>
      </c>
      <c r="G146" s="485">
        <f t="shared" si="28"/>
        <v>0</v>
      </c>
      <c r="H146" s="486">
        <f t="shared" si="29"/>
        <v>0</v>
      </c>
      <c r="I146" s="542">
        <f t="shared" si="30"/>
        <v>0</v>
      </c>
      <c r="J146" s="478">
        <f t="shared" si="25"/>
        <v>0</v>
      </c>
      <c r="K146" s="478"/>
      <c r="L146" s="487"/>
      <c r="M146" s="478">
        <f t="shared" si="31"/>
        <v>0</v>
      </c>
      <c r="N146" s="487"/>
      <c r="O146" s="478">
        <f t="shared" si="32"/>
        <v>0</v>
      </c>
      <c r="P146" s="478">
        <f t="shared" si="33"/>
        <v>0</v>
      </c>
    </row>
    <row r="147" spans="2:16">
      <c r="B147" s="160" t="str">
        <f t="shared" si="24"/>
        <v/>
      </c>
      <c r="C147" s="472">
        <f>IF(D93="","-",+C146+1)</f>
        <v>2063</v>
      </c>
      <c r="D147" s="347">
        <f>IF(F146+SUM(E$99:E146)=D$92,F146,D$92-SUM(E$99:E146))</f>
        <v>0</v>
      </c>
      <c r="E147" s="484">
        <f t="shared" si="26"/>
        <v>0</v>
      </c>
      <c r="F147" s="485">
        <f t="shared" si="27"/>
        <v>0</v>
      </c>
      <c r="G147" s="485">
        <f t="shared" si="28"/>
        <v>0</v>
      </c>
      <c r="H147" s="486">
        <f t="shared" si="29"/>
        <v>0</v>
      </c>
      <c r="I147" s="542">
        <f t="shared" si="30"/>
        <v>0</v>
      </c>
      <c r="J147" s="478">
        <f t="shared" si="25"/>
        <v>0</v>
      </c>
      <c r="K147" s="478"/>
      <c r="L147" s="487"/>
      <c r="M147" s="478">
        <f t="shared" si="31"/>
        <v>0</v>
      </c>
      <c r="N147" s="487"/>
      <c r="O147" s="478">
        <f t="shared" si="32"/>
        <v>0</v>
      </c>
      <c r="P147" s="478">
        <f t="shared" si="33"/>
        <v>0</v>
      </c>
    </row>
    <row r="148" spans="2:16">
      <c r="B148" s="160" t="str">
        <f t="shared" si="24"/>
        <v/>
      </c>
      <c r="C148" s="472">
        <f>IF(D93="","-",+C147+1)</f>
        <v>2064</v>
      </c>
      <c r="D148" s="347">
        <f>IF(F147+SUM(E$99:E147)=D$92,F147,D$92-SUM(E$99:E147))</f>
        <v>0</v>
      </c>
      <c r="E148" s="484">
        <f t="shared" si="26"/>
        <v>0</v>
      </c>
      <c r="F148" s="485">
        <f t="shared" si="27"/>
        <v>0</v>
      </c>
      <c r="G148" s="485">
        <f t="shared" si="28"/>
        <v>0</v>
      </c>
      <c r="H148" s="486">
        <f t="shared" si="29"/>
        <v>0</v>
      </c>
      <c r="I148" s="542">
        <f t="shared" si="30"/>
        <v>0</v>
      </c>
      <c r="J148" s="478">
        <f t="shared" si="25"/>
        <v>0</v>
      </c>
      <c r="K148" s="478"/>
      <c r="L148" s="487"/>
      <c r="M148" s="478">
        <f t="shared" si="31"/>
        <v>0</v>
      </c>
      <c r="N148" s="487"/>
      <c r="O148" s="478">
        <f t="shared" si="32"/>
        <v>0</v>
      </c>
      <c r="P148" s="478">
        <f t="shared" si="33"/>
        <v>0</v>
      </c>
    </row>
    <row r="149" spans="2:16">
      <c r="B149" s="160" t="str">
        <f t="shared" si="24"/>
        <v/>
      </c>
      <c r="C149" s="472">
        <f>IF(D93="","-",+C148+1)</f>
        <v>2065</v>
      </c>
      <c r="D149" s="347">
        <f>IF(F148+SUM(E$99:E148)=D$92,F148,D$92-SUM(E$99:E148))</f>
        <v>0</v>
      </c>
      <c r="E149" s="484">
        <f t="shared" si="26"/>
        <v>0</v>
      </c>
      <c r="F149" s="485">
        <f t="shared" si="27"/>
        <v>0</v>
      </c>
      <c r="G149" s="485">
        <f t="shared" si="28"/>
        <v>0</v>
      </c>
      <c r="H149" s="486">
        <f t="shared" si="29"/>
        <v>0</v>
      </c>
      <c r="I149" s="542">
        <f t="shared" si="30"/>
        <v>0</v>
      </c>
      <c r="J149" s="478">
        <f t="shared" si="25"/>
        <v>0</v>
      </c>
      <c r="K149" s="478"/>
      <c r="L149" s="487"/>
      <c r="M149" s="478">
        <f t="shared" si="31"/>
        <v>0</v>
      </c>
      <c r="N149" s="487"/>
      <c r="O149" s="478">
        <f t="shared" si="32"/>
        <v>0</v>
      </c>
      <c r="P149" s="478">
        <f t="shared" si="33"/>
        <v>0</v>
      </c>
    </row>
    <row r="150" spans="2:16">
      <c r="B150" s="160" t="str">
        <f t="shared" si="24"/>
        <v/>
      </c>
      <c r="C150" s="472">
        <f>IF(D93="","-",+C149+1)</f>
        <v>2066</v>
      </c>
      <c r="D150" s="347">
        <f>IF(F149+SUM(E$99:E149)=D$92,F149,D$92-SUM(E$99:E149))</f>
        <v>0</v>
      </c>
      <c r="E150" s="484">
        <f t="shared" si="26"/>
        <v>0</v>
      </c>
      <c r="F150" s="485">
        <f t="shared" si="27"/>
        <v>0</v>
      </c>
      <c r="G150" s="485">
        <f t="shared" si="28"/>
        <v>0</v>
      </c>
      <c r="H150" s="486">
        <f t="shared" si="29"/>
        <v>0</v>
      </c>
      <c r="I150" s="542">
        <f t="shared" si="30"/>
        <v>0</v>
      </c>
      <c r="J150" s="478">
        <f t="shared" si="25"/>
        <v>0</v>
      </c>
      <c r="K150" s="478"/>
      <c r="L150" s="487"/>
      <c r="M150" s="478">
        <f t="shared" si="31"/>
        <v>0</v>
      </c>
      <c r="N150" s="487"/>
      <c r="O150" s="478">
        <f t="shared" si="32"/>
        <v>0</v>
      </c>
      <c r="P150" s="478">
        <f t="shared" si="33"/>
        <v>0</v>
      </c>
    </row>
    <row r="151" spans="2:16">
      <c r="B151" s="160" t="str">
        <f t="shared" si="24"/>
        <v/>
      </c>
      <c r="C151" s="472">
        <f>IF(D93="","-",+C150+1)</f>
        <v>2067</v>
      </c>
      <c r="D151" s="347">
        <f>IF(F150+SUM(E$99:E150)=D$92,F150,D$92-SUM(E$99:E150))</f>
        <v>0</v>
      </c>
      <c r="E151" s="484">
        <f t="shared" si="26"/>
        <v>0</v>
      </c>
      <c r="F151" s="485">
        <f t="shared" si="27"/>
        <v>0</v>
      </c>
      <c r="G151" s="485">
        <f t="shared" si="28"/>
        <v>0</v>
      </c>
      <c r="H151" s="486">
        <f t="shared" si="29"/>
        <v>0</v>
      </c>
      <c r="I151" s="542">
        <f t="shared" si="30"/>
        <v>0</v>
      </c>
      <c r="J151" s="478">
        <f t="shared" si="25"/>
        <v>0</v>
      </c>
      <c r="K151" s="478"/>
      <c r="L151" s="487"/>
      <c r="M151" s="478">
        <f t="shared" si="31"/>
        <v>0</v>
      </c>
      <c r="N151" s="487"/>
      <c r="O151" s="478">
        <f t="shared" si="32"/>
        <v>0</v>
      </c>
      <c r="P151" s="478">
        <f t="shared" si="33"/>
        <v>0</v>
      </c>
    </row>
    <row r="152" spans="2:16">
      <c r="B152" s="160" t="str">
        <f t="shared" si="24"/>
        <v/>
      </c>
      <c r="C152" s="472">
        <f>IF(D93="","-",+C151+1)</f>
        <v>2068</v>
      </c>
      <c r="D152" s="347">
        <f>IF(F151+SUM(E$99:E151)=D$92,F151,D$92-SUM(E$99:E151))</f>
        <v>0</v>
      </c>
      <c r="E152" s="484">
        <f t="shared" si="26"/>
        <v>0</v>
      </c>
      <c r="F152" s="485">
        <f t="shared" si="27"/>
        <v>0</v>
      </c>
      <c r="G152" s="485">
        <f t="shared" si="28"/>
        <v>0</v>
      </c>
      <c r="H152" s="486">
        <f t="shared" si="29"/>
        <v>0</v>
      </c>
      <c r="I152" s="542">
        <f t="shared" si="30"/>
        <v>0</v>
      </c>
      <c r="J152" s="478">
        <f t="shared" si="25"/>
        <v>0</v>
      </c>
      <c r="K152" s="478"/>
      <c r="L152" s="487"/>
      <c r="M152" s="478">
        <f t="shared" si="31"/>
        <v>0</v>
      </c>
      <c r="N152" s="487"/>
      <c r="O152" s="478">
        <f t="shared" si="32"/>
        <v>0</v>
      </c>
      <c r="P152" s="478">
        <f t="shared" si="33"/>
        <v>0</v>
      </c>
    </row>
    <row r="153" spans="2:16">
      <c r="B153" s="160" t="str">
        <f t="shared" si="24"/>
        <v/>
      </c>
      <c r="C153" s="472">
        <f>IF(D93="","-",+C152+1)</f>
        <v>2069</v>
      </c>
      <c r="D153" s="347">
        <f>IF(F152+SUM(E$99:E152)=D$92,F152,D$92-SUM(E$99:E152))</f>
        <v>0</v>
      </c>
      <c r="E153" s="484">
        <f t="shared" si="26"/>
        <v>0</v>
      </c>
      <c r="F153" s="485">
        <f t="shared" si="27"/>
        <v>0</v>
      </c>
      <c r="G153" s="485">
        <f t="shared" si="28"/>
        <v>0</v>
      </c>
      <c r="H153" s="486">
        <f t="shared" si="29"/>
        <v>0</v>
      </c>
      <c r="I153" s="542">
        <f t="shared" si="30"/>
        <v>0</v>
      </c>
      <c r="J153" s="478">
        <f t="shared" si="25"/>
        <v>0</v>
      </c>
      <c r="K153" s="478"/>
      <c r="L153" s="487"/>
      <c r="M153" s="478">
        <f t="shared" si="31"/>
        <v>0</v>
      </c>
      <c r="N153" s="487"/>
      <c r="O153" s="478">
        <f t="shared" si="32"/>
        <v>0</v>
      </c>
      <c r="P153" s="478">
        <f t="shared" si="33"/>
        <v>0</v>
      </c>
    </row>
    <row r="154" spans="2:16" ht="13.5" thickBot="1">
      <c r="B154" s="160" t="str">
        <f t="shared" si="24"/>
        <v/>
      </c>
      <c r="C154" s="489">
        <f>IF(D93="","-",+C153+1)</f>
        <v>2070</v>
      </c>
      <c r="D154" s="576">
        <f>IF(F153+SUM(E$99:E153)=D$92,F153,D$92-SUM(E$99:E153))</f>
        <v>0</v>
      </c>
      <c r="E154" s="491">
        <f t="shared" si="26"/>
        <v>0</v>
      </c>
      <c r="F154" s="490">
        <f t="shared" si="27"/>
        <v>0</v>
      </c>
      <c r="G154" s="490">
        <f t="shared" si="28"/>
        <v>0</v>
      </c>
      <c r="H154" s="492">
        <f t="shared" ref="H154" si="34">+J$94*G154+E154</f>
        <v>0</v>
      </c>
      <c r="I154" s="545">
        <f t="shared" ref="I154" si="35">+J$95*G154+E154</f>
        <v>0</v>
      </c>
      <c r="J154" s="495">
        <f t="shared" si="25"/>
        <v>0</v>
      </c>
      <c r="K154" s="478"/>
      <c r="L154" s="494"/>
      <c r="M154" s="495">
        <f t="shared" si="31"/>
        <v>0</v>
      </c>
      <c r="N154" s="494"/>
      <c r="O154" s="495">
        <f t="shared" si="32"/>
        <v>0</v>
      </c>
      <c r="P154" s="495">
        <f t="shared" si="33"/>
        <v>0</v>
      </c>
    </row>
    <row r="155" spans="2:16">
      <c r="C155" s="347" t="s">
        <v>77</v>
      </c>
      <c r="D155" s="348"/>
      <c r="E155" s="348">
        <f>SUM(E99:E154)</f>
        <v>1692023</v>
      </c>
      <c r="F155" s="348"/>
      <c r="G155" s="348"/>
      <c r="H155" s="348">
        <f>SUM(H99:H154)</f>
        <v>5591501.3562645586</v>
      </c>
      <c r="I155" s="348">
        <f>SUM(I99:I154)</f>
        <v>5591501.3562645586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7">
    <tabColor theme="9" tint="-0.249977111117893"/>
  </sheetPr>
  <dimension ref="A1:P162"/>
  <sheetViews>
    <sheetView view="pageBreakPreview" zoomScale="80" zoomScaleNormal="100" zoomScaleSheetLayoutView="80" workbookViewId="0">
      <selection activeCell="E23" sqref="E2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18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191574.82976190478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191574.82976190478</v>
      </c>
      <c r="O6" s="233"/>
      <c r="P6" s="233"/>
    </row>
    <row r="7" spans="1:16" ht="13.5" thickBot="1">
      <c r="C7" s="431" t="s">
        <v>46</v>
      </c>
      <c r="D7" s="599" t="s">
        <v>263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610" t="s">
        <v>266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270</v>
      </c>
      <c r="E9" s="577" t="s">
        <v>259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1725646.85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41086.829761904766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78">
        <v>1725646.85</v>
      </c>
      <c r="E17" s="601">
        <v>22123.677564102563</v>
      </c>
      <c r="F17" s="578">
        <v>1703523.1724358976</v>
      </c>
      <c r="G17" s="601">
        <v>256628.57821434946</v>
      </c>
      <c r="H17" s="602">
        <v>256628.57821434946</v>
      </c>
      <c r="I17" s="475">
        <v>0</v>
      </c>
      <c r="J17" s="475"/>
      <c r="K17" s="476">
        <f t="shared" ref="K17:K22" si="0">G17</f>
        <v>256628.57821434946</v>
      </c>
      <c r="L17" s="603">
        <f t="shared" ref="L17:L22" si="1">IF(K17&lt;&gt;0,+G17-K17,0)</f>
        <v>0</v>
      </c>
      <c r="M17" s="476">
        <f t="shared" ref="M17:M22" si="2">H17</f>
        <v>256628.57821434946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78">
        <v>1703523.1724358976</v>
      </c>
      <c r="E18" s="579">
        <v>33185.516346153847</v>
      </c>
      <c r="F18" s="578">
        <v>1670337.6560897438</v>
      </c>
      <c r="G18" s="579">
        <v>263477.7363505594</v>
      </c>
      <c r="H18" s="602">
        <v>263477.7363505594</v>
      </c>
      <c r="I18" s="475">
        <v>0</v>
      </c>
      <c r="J18" s="475"/>
      <c r="K18" s="476">
        <f t="shared" si="0"/>
        <v>263477.7363505594</v>
      </c>
      <c r="L18" s="603">
        <f t="shared" si="1"/>
        <v>0</v>
      </c>
      <c r="M18" s="476">
        <f t="shared" si="2"/>
        <v>263477.7363505594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/>
      </c>
      <c r="C19" s="472">
        <f>IF(D11="","-",+C18+1)</f>
        <v>2016</v>
      </c>
      <c r="D19" s="578">
        <v>1670337.6560897438</v>
      </c>
      <c r="E19" s="579">
        <v>33185.516346153847</v>
      </c>
      <c r="F19" s="578">
        <v>1637152.13974359</v>
      </c>
      <c r="G19" s="579">
        <v>247913.51634615386</v>
      </c>
      <c r="H19" s="602">
        <v>247913.51634615386</v>
      </c>
      <c r="I19" s="475">
        <f>H19-G19</f>
        <v>0</v>
      </c>
      <c r="J19" s="475"/>
      <c r="K19" s="476">
        <f t="shared" si="0"/>
        <v>247913.51634615386</v>
      </c>
      <c r="L19" s="603">
        <f t="shared" si="1"/>
        <v>0</v>
      </c>
      <c r="M19" s="476">
        <f t="shared" si="2"/>
        <v>247913.51634615386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78">
        <v>1637152</v>
      </c>
      <c r="E20" s="579">
        <v>37514</v>
      </c>
      <c r="F20" s="578">
        <v>1599638</v>
      </c>
      <c r="G20" s="579">
        <v>241085</v>
      </c>
      <c r="H20" s="602">
        <v>241085</v>
      </c>
      <c r="I20" s="475">
        <f t="shared" ref="I20:I72" si="4">H20-G20</f>
        <v>0</v>
      </c>
      <c r="J20" s="475"/>
      <c r="K20" s="476">
        <f t="shared" si="0"/>
        <v>241085</v>
      </c>
      <c r="L20" s="603">
        <f t="shared" si="1"/>
        <v>0</v>
      </c>
      <c r="M20" s="476">
        <f t="shared" si="2"/>
        <v>241085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>IU</v>
      </c>
      <c r="C21" s="472">
        <f>IF(D11="","-",+C20+1)</f>
        <v>2018</v>
      </c>
      <c r="D21" s="578">
        <v>1599638.0777870682</v>
      </c>
      <c r="E21" s="579">
        <v>38347.707777777781</v>
      </c>
      <c r="F21" s="578">
        <v>1561290.3700092905</v>
      </c>
      <c r="G21" s="579">
        <v>227622.42905835263</v>
      </c>
      <c r="H21" s="602">
        <v>227622.42905835263</v>
      </c>
      <c r="I21" s="475">
        <f t="shared" si="4"/>
        <v>0</v>
      </c>
      <c r="J21" s="475"/>
      <c r="K21" s="476">
        <f t="shared" si="0"/>
        <v>227622.42905835263</v>
      </c>
      <c r="L21" s="603">
        <f t="shared" si="1"/>
        <v>0</v>
      </c>
      <c r="M21" s="476">
        <f t="shared" si="2"/>
        <v>227622.42905835263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/>
      </c>
      <c r="C22" s="472">
        <f>IF(D11="","-",+C21+1)</f>
        <v>2019</v>
      </c>
      <c r="D22" s="578">
        <v>1561290.3700092905</v>
      </c>
      <c r="E22" s="579">
        <v>43141.171249999999</v>
      </c>
      <c r="F22" s="578">
        <v>1518149.1987592906</v>
      </c>
      <c r="G22" s="579">
        <v>215061.09551654221</v>
      </c>
      <c r="H22" s="602">
        <v>215061.09551654221</v>
      </c>
      <c r="I22" s="475">
        <f t="shared" si="4"/>
        <v>0</v>
      </c>
      <c r="J22" s="475"/>
      <c r="K22" s="476">
        <f t="shared" si="0"/>
        <v>215061.09551654221</v>
      </c>
      <c r="L22" s="603">
        <f t="shared" si="1"/>
        <v>0</v>
      </c>
      <c r="M22" s="476">
        <f t="shared" si="2"/>
        <v>215061.09551654221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>IU</v>
      </c>
      <c r="C23" s="472">
        <f>IF(D11="","-",+C22+1)</f>
        <v>2020</v>
      </c>
      <c r="D23" s="578">
        <v>1522942.7241880344</v>
      </c>
      <c r="E23" s="579">
        <v>41086.829761904766</v>
      </c>
      <c r="F23" s="578">
        <v>1481855.8944261298</v>
      </c>
      <c r="G23" s="579">
        <v>203353.13199328393</v>
      </c>
      <c r="H23" s="602">
        <v>203353.13199328393</v>
      </c>
      <c r="I23" s="475">
        <f t="shared" si="4"/>
        <v>0</v>
      </c>
      <c r="J23" s="475"/>
      <c r="K23" s="476">
        <f t="shared" ref="K23" si="7">G23</f>
        <v>203353.13199328393</v>
      </c>
      <c r="L23" s="603">
        <f t="shared" ref="L23" si="8">IF(K23&lt;&gt;0,+G23-K23,0)</f>
        <v>0</v>
      </c>
      <c r="M23" s="476">
        <f t="shared" ref="M23" si="9">H23</f>
        <v>203353.13199328393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78">
        <v>1477062.4309539073</v>
      </c>
      <c r="E24" s="579">
        <v>40131.322093023256</v>
      </c>
      <c r="F24" s="578">
        <v>1436931.1088608841</v>
      </c>
      <c r="G24" s="579">
        <v>195063.32209302325</v>
      </c>
      <c r="H24" s="602">
        <v>195063.32209302325</v>
      </c>
      <c r="I24" s="475">
        <f t="shared" si="4"/>
        <v>0</v>
      </c>
      <c r="J24" s="475"/>
      <c r="K24" s="476">
        <f t="shared" ref="K24" si="10">G24</f>
        <v>195063.32209302325</v>
      </c>
      <c r="L24" s="603">
        <f t="shared" ref="L24" si="11">IF(K24&lt;&gt;0,+G24-K24,0)</f>
        <v>0</v>
      </c>
      <c r="M24" s="476">
        <f t="shared" ref="M24" si="12">H24</f>
        <v>195063.32209302325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/>
      </c>
      <c r="C25" s="472">
        <f>IF(D11="","-",+C24+1)</f>
        <v>2022</v>
      </c>
      <c r="D25" s="578">
        <v>1436931.1088608841</v>
      </c>
      <c r="E25" s="579">
        <v>41086.829761904766</v>
      </c>
      <c r="F25" s="578">
        <v>1395844.2790989794</v>
      </c>
      <c r="G25" s="579">
        <v>191574.82976190478</v>
      </c>
      <c r="H25" s="602">
        <v>191574.82976190478</v>
      </c>
      <c r="I25" s="475">
        <f t="shared" si="4"/>
        <v>0</v>
      </c>
      <c r="J25" s="475"/>
      <c r="K25" s="476">
        <f t="shared" ref="K25" si="13">G25</f>
        <v>191574.82976190478</v>
      </c>
      <c r="L25" s="603">
        <f t="shared" ref="L25" si="14">IF(K25&lt;&gt;0,+G25-K25,0)</f>
        <v>0</v>
      </c>
      <c r="M25" s="476">
        <f t="shared" ref="M25" si="15">H25</f>
        <v>191574.82976190478</v>
      </c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1395844.2790989794</v>
      </c>
      <c r="E26" s="484">
        <f t="shared" ref="E26:E72" si="16">IF(+$I$14&lt;F25,$I$14,D26)</f>
        <v>41086.829761904766</v>
      </c>
      <c r="F26" s="485">
        <f t="shared" ref="F26:F72" si="17">+D26-E26</f>
        <v>1354757.4493370748</v>
      </c>
      <c r="G26" s="486">
        <f t="shared" ref="G26:G72" si="18">(D26+F26)/2*I$12+E26</f>
        <v>189359.72929304035</v>
      </c>
      <c r="H26" s="455">
        <f t="shared" ref="H26:H72" si="19">+(D26+F26)/2*I$13+E26</f>
        <v>189359.72929304035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1354757.4493370748</v>
      </c>
      <c r="E27" s="484">
        <f t="shared" si="16"/>
        <v>41086.829761904766</v>
      </c>
      <c r="F27" s="485">
        <f t="shared" si="17"/>
        <v>1313670.6195751701</v>
      </c>
      <c r="G27" s="486">
        <f t="shared" si="18"/>
        <v>184930.10699013894</v>
      </c>
      <c r="H27" s="455">
        <f t="shared" si="19"/>
        <v>184930.10699013894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1313670.6195751701</v>
      </c>
      <c r="E28" s="484">
        <f t="shared" si="16"/>
        <v>41086.829761904766</v>
      </c>
      <c r="F28" s="485">
        <f t="shared" si="17"/>
        <v>1272583.7898132654</v>
      </c>
      <c r="G28" s="486">
        <f t="shared" si="18"/>
        <v>180500.48468723753</v>
      </c>
      <c r="H28" s="455">
        <f t="shared" si="19"/>
        <v>180500.48468723753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1272583.7898132654</v>
      </c>
      <c r="E29" s="484">
        <f t="shared" si="16"/>
        <v>41086.829761904766</v>
      </c>
      <c r="F29" s="485">
        <f t="shared" si="17"/>
        <v>1231496.9600513608</v>
      </c>
      <c r="G29" s="486">
        <f t="shared" si="18"/>
        <v>176070.86238433613</v>
      </c>
      <c r="H29" s="455">
        <f t="shared" si="19"/>
        <v>176070.86238433613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1231496.9600513608</v>
      </c>
      <c r="E30" s="484">
        <f t="shared" si="16"/>
        <v>41086.829761904766</v>
      </c>
      <c r="F30" s="485">
        <f t="shared" si="17"/>
        <v>1190410.1302894561</v>
      </c>
      <c r="G30" s="486">
        <f t="shared" si="18"/>
        <v>171641.24008143469</v>
      </c>
      <c r="H30" s="455">
        <f t="shared" si="19"/>
        <v>171641.24008143469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1190410.1302894561</v>
      </c>
      <c r="E31" s="484">
        <f t="shared" si="16"/>
        <v>41086.829761904766</v>
      </c>
      <c r="F31" s="485">
        <f t="shared" si="17"/>
        <v>1149323.3005275514</v>
      </c>
      <c r="G31" s="486">
        <f t="shared" si="18"/>
        <v>167211.61777853328</v>
      </c>
      <c r="H31" s="455">
        <f t="shared" si="19"/>
        <v>167211.61777853328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1149323.3005275514</v>
      </c>
      <c r="E32" s="484">
        <f t="shared" si="16"/>
        <v>41086.829761904766</v>
      </c>
      <c r="F32" s="485">
        <f t="shared" si="17"/>
        <v>1108236.4707656468</v>
      </c>
      <c r="G32" s="486">
        <f t="shared" si="18"/>
        <v>162781.99547563185</v>
      </c>
      <c r="H32" s="455">
        <f t="shared" si="19"/>
        <v>162781.99547563185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1108236.4707656468</v>
      </c>
      <c r="E33" s="484">
        <f t="shared" si="16"/>
        <v>41086.829761904766</v>
      </c>
      <c r="F33" s="485">
        <f t="shared" si="17"/>
        <v>1067149.6410037421</v>
      </c>
      <c r="G33" s="486">
        <f t="shared" si="18"/>
        <v>158352.37317273044</v>
      </c>
      <c r="H33" s="455">
        <f t="shared" si="19"/>
        <v>158352.37317273044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1067149.6410037421</v>
      </c>
      <c r="E34" s="484">
        <f t="shared" si="16"/>
        <v>41086.829761904766</v>
      </c>
      <c r="F34" s="485">
        <f t="shared" si="17"/>
        <v>1026062.8112418373</v>
      </c>
      <c r="G34" s="486">
        <f t="shared" si="18"/>
        <v>153922.75086982903</v>
      </c>
      <c r="H34" s="455">
        <f t="shared" si="19"/>
        <v>153922.75086982903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1026062.8112418373</v>
      </c>
      <c r="E35" s="484">
        <f t="shared" si="16"/>
        <v>41086.829761904766</v>
      </c>
      <c r="F35" s="485">
        <f t="shared" si="17"/>
        <v>984975.98147993255</v>
      </c>
      <c r="G35" s="486">
        <f t="shared" si="18"/>
        <v>149493.1285669276</v>
      </c>
      <c r="H35" s="455">
        <f t="shared" si="19"/>
        <v>149493.1285669276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984975.98147993255</v>
      </c>
      <c r="E36" s="484">
        <f t="shared" si="16"/>
        <v>41086.829761904766</v>
      </c>
      <c r="F36" s="485">
        <f t="shared" si="17"/>
        <v>943889.15171802777</v>
      </c>
      <c r="G36" s="486">
        <f t="shared" si="18"/>
        <v>145063.50626402619</v>
      </c>
      <c r="H36" s="455">
        <f t="shared" si="19"/>
        <v>145063.50626402619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943889.15171802777</v>
      </c>
      <c r="E37" s="484">
        <f t="shared" si="16"/>
        <v>41086.829761904766</v>
      </c>
      <c r="F37" s="485">
        <f t="shared" si="17"/>
        <v>902802.32195612299</v>
      </c>
      <c r="G37" s="486">
        <f t="shared" si="18"/>
        <v>140633.88396112475</v>
      </c>
      <c r="H37" s="455">
        <f t="shared" si="19"/>
        <v>140633.88396112475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902802.32195612299</v>
      </c>
      <c r="E38" s="484">
        <f t="shared" si="16"/>
        <v>41086.829761904766</v>
      </c>
      <c r="F38" s="485">
        <f t="shared" si="17"/>
        <v>861715.49219421821</v>
      </c>
      <c r="G38" s="486">
        <f t="shared" si="18"/>
        <v>136204.26165822335</v>
      </c>
      <c r="H38" s="455">
        <f t="shared" si="19"/>
        <v>136204.26165822335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861715.49219421821</v>
      </c>
      <c r="E39" s="484">
        <f t="shared" si="16"/>
        <v>41086.829761904766</v>
      </c>
      <c r="F39" s="485">
        <f t="shared" si="17"/>
        <v>820628.66243231343</v>
      </c>
      <c r="G39" s="486">
        <f t="shared" si="18"/>
        <v>131774.63935532188</v>
      </c>
      <c r="H39" s="455">
        <f t="shared" si="19"/>
        <v>131774.63935532188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820628.66243231343</v>
      </c>
      <c r="E40" s="484">
        <f t="shared" si="16"/>
        <v>41086.829761904766</v>
      </c>
      <c r="F40" s="485">
        <f t="shared" si="17"/>
        <v>779541.83267040865</v>
      </c>
      <c r="G40" s="486">
        <f t="shared" si="18"/>
        <v>127345.01705242049</v>
      </c>
      <c r="H40" s="455">
        <f t="shared" si="19"/>
        <v>127345.01705242049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779541.83267040865</v>
      </c>
      <c r="E41" s="484">
        <f t="shared" si="16"/>
        <v>41086.829761904766</v>
      </c>
      <c r="F41" s="485">
        <f t="shared" si="17"/>
        <v>738455.00290850387</v>
      </c>
      <c r="G41" s="486">
        <f t="shared" si="18"/>
        <v>122915.39474951904</v>
      </c>
      <c r="H41" s="455">
        <f t="shared" si="19"/>
        <v>122915.39474951904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738455.00290850387</v>
      </c>
      <c r="E42" s="484">
        <f t="shared" si="16"/>
        <v>41086.829761904766</v>
      </c>
      <c r="F42" s="485">
        <f t="shared" si="17"/>
        <v>697368.17314659909</v>
      </c>
      <c r="G42" s="486">
        <f t="shared" si="18"/>
        <v>118485.77244661763</v>
      </c>
      <c r="H42" s="455">
        <f t="shared" si="19"/>
        <v>118485.77244661763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697368.17314659909</v>
      </c>
      <c r="E43" s="484">
        <f t="shared" si="16"/>
        <v>41086.829761904766</v>
      </c>
      <c r="F43" s="485">
        <f t="shared" si="17"/>
        <v>656281.34338469431</v>
      </c>
      <c r="G43" s="486">
        <f t="shared" si="18"/>
        <v>114056.15014371619</v>
      </c>
      <c r="H43" s="455">
        <f t="shared" si="19"/>
        <v>114056.15014371619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656281.34338469431</v>
      </c>
      <c r="E44" s="484">
        <f t="shared" si="16"/>
        <v>41086.829761904766</v>
      </c>
      <c r="F44" s="485">
        <f t="shared" si="17"/>
        <v>615194.51362278953</v>
      </c>
      <c r="G44" s="486">
        <f t="shared" si="18"/>
        <v>109626.52784081477</v>
      </c>
      <c r="H44" s="455">
        <f t="shared" si="19"/>
        <v>109626.52784081477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615194.51362278953</v>
      </c>
      <c r="E45" s="484">
        <f t="shared" si="16"/>
        <v>41086.829761904766</v>
      </c>
      <c r="F45" s="485">
        <f t="shared" si="17"/>
        <v>574107.68386088475</v>
      </c>
      <c r="G45" s="486">
        <f t="shared" si="18"/>
        <v>105196.90553791334</v>
      </c>
      <c r="H45" s="455">
        <f t="shared" si="19"/>
        <v>105196.90553791334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574107.68386088475</v>
      </c>
      <c r="E46" s="484">
        <f t="shared" si="16"/>
        <v>41086.829761904766</v>
      </c>
      <c r="F46" s="485">
        <f t="shared" si="17"/>
        <v>533020.85409897997</v>
      </c>
      <c r="G46" s="486">
        <f t="shared" si="18"/>
        <v>100767.28323501191</v>
      </c>
      <c r="H46" s="455">
        <f t="shared" si="19"/>
        <v>100767.28323501191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533020.85409897997</v>
      </c>
      <c r="E47" s="484">
        <f t="shared" si="16"/>
        <v>41086.829761904766</v>
      </c>
      <c r="F47" s="485">
        <f t="shared" si="17"/>
        <v>491934.02433707519</v>
      </c>
      <c r="G47" s="486">
        <f t="shared" si="18"/>
        <v>96337.660932110492</v>
      </c>
      <c r="H47" s="455">
        <f t="shared" si="19"/>
        <v>96337.660932110492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491934.02433707519</v>
      </c>
      <c r="E48" s="484">
        <f t="shared" si="16"/>
        <v>41086.829761904766</v>
      </c>
      <c r="F48" s="485">
        <f t="shared" si="17"/>
        <v>450847.1945751704</v>
      </c>
      <c r="G48" s="486">
        <f t="shared" si="18"/>
        <v>91908.03862920907</v>
      </c>
      <c r="H48" s="455">
        <f t="shared" si="19"/>
        <v>91908.03862920907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450847.1945751704</v>
      </c>
      <c r="E49" s="484">
        <f t="shared" si="16"/>
        <v>41086.829761904766</v>
      </c>
      <c r="F49" s="485">
        <f t="shared" si="17"/>
        <v>409760.36481326562</v>
      </c>
      <c r="G49" s="486">
        <f t="shared" si="18"/>
        <v>87478.416326307633</v>
      </c>
      <c r="H49" s="455">
        <f t="shared" si="19"/>
        <v>87478.416326307633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409760.36481326562</v>
      </c>
      <c r="E50" s="484">
        <f t="shared" si="16"/>
        <v>41086.829761904766</v>
      </c>
      <c r="F50" s="485">
        <f t="shared" si="17"/>
        <v>368673.53505136084</v>
      </c>
      <c r="G50" s="486">
        <f t="shared" si="18"/>
        <v>83048.794023406212</v>
      </c>
      <c r="H50" s="455">
        <f t="shared" si="19"/>
        <v>83048.794023406212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368673.53505136084</v>
      </c>
      <c r="E51" s="484">
        <f t="shared" si="16"/>
        <v>41086.829761904766</v>
      </c>
      <c r="F51" s="485">
        <f t="shared" si="17"/>
        <v>327586.70528945606</v>
      </c>
      <c r="G51" s="486">
        <f t="shared" si="18"/>
        <v>78619.17172050479</v>
      </c>
      <c r="H51" s="455">
        <f t="shared" si="19"/>
        <v>78619.17172050479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327586.70528945606</v>
      </c>
      <c r="E52" s="484">
        <f t="shared" si="16"/>
        <v>41086.829761904766</v>
      </c>
      <c r="F52" s="485">
        <f t="shared" si="17"/>
        <v>286499.87552755128</v>
      </c>
      <c r="G52" s="486">
        <f t="shared" si="18"/>
        <v>74189.549417603354</v>
      </c>
      <c r="H52" s="455">
        <f t="shared" si="19"/>
        <v>74189.549417603354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286499.87552755128</v>
      </c>
      <c r="E53" s="484">
        <f t="shared" si="16"/>
        <v>41086.829761904766</v>
      </c>
      <c r="F53" s="485">
        <f t="shared" si="17"/>
        <v>245413.0457656465</v>
      </c>
      <c r="G53" s="486">
        <f t="shared" si="18"/>
        <v>69759.927114701932</v>
      </c>
      <c r="H53" s="455">
        <f t="shared" si="19"/>
        <v>69759.927114701932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245413.0457656465</v>
      </c>
      <c r="E54" s="484">
        <f t="shared" si="16"/>
        <v>41086.829761904766</v>
      </c>
      <c r="F54" s="485">
        <f t="shared" si="17"/>
        <v>204326.21600374172</v>
      </c>
      <c r="G54" s="486">
        <f t="shared" si="18"/>
        <v>65330.30481180051</v>
      </c>
      <c r="H54" s="455">
        <f t="shared" si="19"/>
        <v>65330.30481180051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204326.21600374172</v>
      </c>
      <c r="E55" s="484">
        <f t="shared" si="16"/>
        <v>41086.829761904766</v>
      </c>
      <c r="F55" s="485">
        <f t="shared" si="17"/>
        <v>163239.38624183694</v>
      </c>
      <c r="G55" s="486">
        <f t="shared" si="18"/>
        <v>60900.682508899081</v>
      </c>
      <c r="H55" s="455">
        <f t="shared" si="19"/>
        <v>60900.682508899081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163239.38624183694</v>
      </c>
      <c r="E56" s="484">
        <f t="shared" si="16"/>
        <v>41086.829761904766</v>
      </c>
      <c r="F56" s="485">
        <f t="shared" si="17"/>
        <v>122152.55647993217</v>
      </c>
      <c r="G56" s="486">
        <f t="shared" si="18"/>
        <v>56471.060205997659</v>
      </c>
      <c r="H56" s="455">
        <f t="shared" si="19"/>
        <v>56471.060205997659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122152.55647993217</v>
      </c>
      <c r="E57" s="484">
        <f t="shared" si="16"/>
        <v>41086.829761904766</v>
      </c>
      <c r="F57" s="485">
        <f t="shared" si="17"/>
        <v>81065.726718027407</v>
      </c>
      <c r="G57" s="486">
        <f t="shared" si="18"/>
        <v>52041.43790309623</v>
      </c>
      <c r="H57" s="455">
        <f t="shared" si="19"/>
        <v>52041.43790309623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81065.726718027407</v>
      </c>
      <c r="E58" s="484">
        <f t="shared" si="16"/>
        <v>41086.829761904766</v>
      </c>
      <c r="F58" s="485">
        <f t="shared" si="17"/>
        <v>39978.89695612264</v>
      </c>
      <c r="G58" s="486">
        <f t="shared" si="18"/>
        <v>47611.815600194808</v>
      </c>
      <c r="H58" s="455">
        <f t="shared" si="19"/>
        <v>47611.815600194808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39978.89695612264</v>
      </c>
      <c r="E59" s="484">
        <f t="shared" si="16"/>
        <v>39978.89695612264</v>
      </c>
      <c r="F59" s="485">
        <f t="shared" si="17"/>
        <v>0</v>
      </c>
      <c r="G59" s="486">
        <f t="shared" si="18"/>
        <v>42133.984299542302</v>
      </c>
      <c r="H59" s="455">
        <f t="shared" si="19"/>
        <v>42133.984299542302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6"/>
        <v>0</v>
      </c>
      <c r="F60" s="485">
        <f t="shared" si="17"/>
        <v>0</v>
      </c>
      <c r="G60" s="486">
        <f t="shared" si="18"/>
        <v>0</v>
      </c>
      <c r="H60" s="455">
        <f t="shared" si="19"/>
        <v>0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6"/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3">
        <f t="shared" si="4"/>
        <v>0</v>
      </c>
      <c r="J72" s="475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1725646.8499999996</v>
      </c>
      <c r="F73" s="348"/>
      <c r="G73" s="348">
        <f>SUM(G17:G72)</f>
        <v>5993944.1143720932</v>
      </c>
      <c r="H73" s="348">
        <f>SUM(H17:H72)</f>
        <v>5993944.1143720932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18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191574.82976190478</v>
      </c>
      <c r="N87" s="508">
        <f>IF(J92&lt;D11,0,VLOOKUP(J92,C17:O72,11))</f>
        <v>191574.82976190478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201950.93523897958</v>
      </c>
      <c r="N88" s="512">
        <f>IF(J92&lt;D11,0,VLOOKUP(J92,C99:P154,7))</f>
        <v>201950.93523897958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Darlington-Red Rock 138 kV line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10376.105477074801</v>
      </c>
      <c r="N89" s="517">
        <f>+N88-N87</f>
        <v>10376.105477074801</v>
      </c>
      <c r="O89" s="518">
        <f>+O88-O87</f>
        <v>0</v>
      </c>
      <c r="P89" s="233"/>
    </row>
    <row r="90" spans="1:16" ht="13.5" thickBot="1">
      <c r="C90" s="496"/>
      <c r="D90" s="611" t="s">
        <v>271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TP2012112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1725647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44247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/>
      <c r="E99" s="585"/>
      <c r="F99" s="586"/>
      <c r="G99" s="605"/>
      <c r="H99" s="606"/>
      <c r="I99" s="607"/>
      <c r="J99" s="478">
        <v>0</v>
      </c>
      <c r="K99" s="478"/>
      <c r="L99" s="476">
        <f t="shared" ref="L99:L104" si="21">H99</f>
        <v>0</v>
      </c>
      <c r="M99" s="349">
        <f t="shared" ref="M99:M104" si="22">IF(L99&lt;&gt;0,+H99-L99,0)</f>
        <v>0</v>
      </c>
      <c r="N99" s="476">
        <f t="shared" ref="N99:N104" si="23">I99</f>
        <v>0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84">
        <v>1703523.1724358976</v>
      </c>
      <c r="E100" s="585">
        <v>32760</v>
      </c>
      <c r="F100" s="586">
        <v>1670763.1724358976</v>
      </c>
      <c r="G100" s="586">
        <v>1687143.1724358976</v>
      </c>
      <c r="H100" s="606">
        <v>262957.1205792831</v>
      </c>
      <c r="I100" s="607">
        <v>262957.1205792831</v>
      </c>
      <c r="J100" s="478">
        <f>+I100-H100</f>
        <v>0</v>
      </c>
      <c r="K100" s="478"/>
      <c r="L100" s="476">
        <f t="shared" si="21"/>
        <v>262957.1205792831</v>
      </c>
      <c r="M100" s="349">
        <f t="shared" si="22"/>
        <v>0</v>
      </c>
      <c r="N100" s="476">
        <f t="shared" si="23"/>
        <v>262957.1205792831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4">IF(D101=F100,"","IU")</f>
        <v>IU</v>
      </c>
      <c r="C101" s="472">
        <f>IF(D93="","-",+C100+1)</f>
        <v>2016</v>
      </c>
      <c r="D101" s="584">
        <v>1692887</v>
      </c>
      <c r="E101" s="585">
        <v>37514</v>
      </c>
      <c r="F101" s="586">
        <v>1655373</v>
      </c>
      <c r="G101" s="586">
        <v>1674130</v>
      </c>
      <c r="H101" s="606">
        <v>250555.65084872485</v>
      </c>
      <c r="I101" s="607">
        <v>250555.65084872485</v>
      </c>
      <c r="J101" s="478">
        <f t="shared" ref="J101:J154" si="25">+I101-H101</f>
        <v>0</v>
      </c>
      <c r="K101" s="478"/>
      <c r="L101" s="476">
        <f t="shared" si="21"/>
        <v>250555.65084872485</v>
      </c>
      <c r="M101" s="349">
        <f t="shared" si="22"/>
        <v>0</v>
      </c>
      <c r="N101" s="476">
        <f t="shared" si="23"/>
        <v>250555.65084872485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4"/>
        <v/>
      </c>
      <c r="C102" s="472">
        <f>IF(D93="","-",+C101+1)</f>
        <v>2017</v>
      </c>
      <c r="D102" s="584">
        <v>1655373</v>
      </c>
      <c r="E102" s="585">
        <v>37514</v>
      </c>
      <c r="F102" s="586">
        <v>1617859</v>
      </c>
      <c r="G102" s="586">
        <v>1636616</v>
      </c>
      <c r="H102" s="606">
        <v>245122.86632871011</v>
      </c>
      <c r="I102" s="607">
        <v>245122.86632871011</v>
      </c>
      <c r="J102" s="478">
        <f t="shared" si="25"/>
        <v>0</v>
      </c>
      <c r="K102" s="478"/>
      <c r="L102" s="476">
        <f t="shared" si="21"/>
        <v>245122.86632871011</v>
      </c>
      <c r="M102" s="349">
        <f t="shared" si="22"/>
        <v>0</v>
      </c>
      <c r="N102" s="476">
        <f t="shared" si="23"/>
        <v>245122.86632871011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4"/>
        <v/>
      </c>
      <c r="C103" s="472">
        <f>IF(D93="","-",+C102+1)</f>
        <v>2018</v>
      </c>
      <c r="D103" s="584">
        <v>1617859</v>
      </c>
      <c r="E103" s="585">
        <v>40131</v>
      </c>
      <c r="F103" s="586">
        <v>1577728</v>
      </c>
      <c r="G103" s="586">
        <v>1597793.5</v>
      </c>
      <c r="H103" s="606">
        <v>204281.22089486517</v>
      </c>
      <c r="I103" s="607">
        <v>204281.22089486517</v>
      </c>
      <c r="J103" s="478">
        <f t="shared" si="25"/>
        <v>0</v>
      </c>
      <c r="K103" s="478"/>
      <c r="L103" s="476">
        <f t="shared" si="21"/>
        <v>204281.22089486517</v>
      </c>
      <c r="M103" s="349">
        <f t="shared" si="22"/>
        <v>0</v>
      </c>
      <c r="N103" s="476">
        <f t="shared" si="23"/>
        <v>204281.22089486517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4"/>
        <v/>
      </c>
      <c r="C104" s="472">
        <f>IF(D93="","-",+C103+1)</f>
        <v>2019</v>
      </c>
      <c r="D104" s="584">
        <v>1577728</v>
      </c>
      <c r="E104" s="585">
        <v>42089</v>
      </c>
      <c r="F104" s="586">
        <v>1535639</v>
      </c>
      <c r="G104" s="586">
        <v>1556683.5</v>
      </c>
      <c r="H104" s="606">
        <v>202604.90301828689</v>
      </c>
      <c r="I104" s="607">
        <v>202604.90301828689</v>
      </c>
      <c r="J104" s="478">
        <f t="shared" si="25"/>
        <v>0</v>
      </c>
      <c r="K104" s="478"/>
      <c r="L104" s="476">
        <f t="shared" si="21"/>
        <v>202604.90301828689</v>
      </c>
      <c r="M104" s="349">
        <f t="shared" si="22"/>
        <v>0</v>
      </c>
      <c r="N104" s="476">
        <f t="shared" si="23"/>
        <v>202604.90301828689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>
      <c r="B105" s="160" t="str">
        <f t="shared" si="24"/>
        <v/>
      </c>
      <c r="C105" s="472">
        <f>IF(D93="","-",+C104+1)</f>
        <v>2020</v>
      </c>
      <c r="D105" s="584">
        <v>1535639</v>
      </c>
      <c r="E105" s="585">
        <v>40131</v>
      </c>
      <c r="F105" s="586">
        <v>1495508</v>
      </c>
      <c r="G105" s="586">
        <v>1515573.5</v>
      </c>
      <c r="H105" s="606">
        <v>214872.45782422918</v>
      </c>
      <c r="I105" s="607">
        <v>214872.45782422918</v>
      </c>
      <c r="J105" s="478">
        <f t="shared" si="25"/>
        <v>0</v>
      </c>
      <c r="K105" s="478"/>
      <c r="L105" s="476">
        <f t="shared" ref="L105" si="28">H105</f>
        <v>214872.45782422918</v>
      </c>
      <c r="M105" s="349">
        <f t="shared" ref="M105" si="29">IF(L105&lt;&gt;0,+H105-L105,0)</f>
        <v>0</v>
      </c>
      <c r="N105" s="476">
        <f t="shared" ref="N105" si="30">I105</f>
        <v>214872.45782422918</v>
      </c>
      <c r="O105" s="478">
        <f t="shared" si="26"/>
        <v>0</v>
      </c>
      <c r="P105" s="478">
        <f t="shared" si="27"/>
        <v>0</v>
      </c>
    </row>
    <row r="106" spans="1:16">
      <c r="B106" s="160" t="str">
        <f t="shared" si="24"/>
        <v/>
      </c>
      <c r="C106" s="472">
        <f>IF(D93="","-",+C105+1)</f>
        <v>2021</v>
      </c>
      <c r="D106" s="584">
        <v>1495508</v>
      </c>
      <c r="E106" s="585">
        <v>42089</v>
      </c>
      <c r="F106" s="586">
        <v>1453419</v>
      </c>
      <c r="G106" s="586">
        <v>1474463.5</v>
      </c>
      <c r="H106" s="606">
        <v>209872.31988794773</v>
      </c>
      <c r="I106" s="607">
        <v>209872.31988794773</v>
      </c>
      <c r="J106" s="478">
        <f t="shared" si="25"/>
        <v>0</v>
      </c>
      <c r="K106" s="478"/>
      <c r="L106" s="476">
        <f t="shared" ref="L106" si="31">H106</f>
        <v>209872.31988794773</v>
      </c>
      <c r="M106" s="349">
        <f t="shared" ref="M106" si="32">IF(L106&lt;&gt;0,+H106-L106,0)</f>
        <v>0</v>
      </c>
      <c r="N106" s="476">
        <f t="shared" ref="N106" si="33">I106</f>
        <v>209872.31988794773</v>
      </c>
      <c r="O106" s="478">
        <f t="shared" si="26"/>
        <v>0</v>
      </c>
      <c r="P106" s="478">
        <f t="shared" si="27"/>
        <v>0</v>
      </c>
    </row>
    <row r="107" spans="1:16">
      <c r="B107" s="160" t="str">
        <f t="shared" si="24"/>
        <v/>
      </c>
      <c r="C107" s="472">
        <f>IF(D93="","-",+C106+1)</f>
        <v>2022</v>
      </c>
      <c r="D107" s="347">
        <f>IF(F106+SUM(E$99:E106)=D$92,F106,D$92-SUM(E$99:E106))</f>
        <v>1453419</v>
      </c>
      <c r="E107" s="484">
        <f t="shared" ref="E107:E154" si="34">IF(+J$96&lt;F106,J$96,D107)</f>
        <v>44247</v>
      </c>
      <c r="F107" s="485">
        <f t="shared" ref="F107:F154" si="35">+D107-E107</f>
        <v>1409172</v>
      </c>
      <c r="G107" s="485">
        <f t="shared" ref="G107:G154" si="36">+(F107+D107)/2</f>
        <v>1431295.5</v>
      </c>
      <c r="H107" s="486">
        <f t="shared" ref="H107:H153" si="37">(D107+F107)/2*J$94+E107</f>
        <v>201950.93523897958</v>
      </c>
      <c r="I107" s="542">
        <f t="shared" ref="I107:I153" si="38">+J$95*G107+E107</f>
        <v>201950.93523897958</v>
      </c>
      <c r="J107" s="478">
        <f t="shared" si="25"/>
        <v>0</v>
      </c>
      <c r="K107" s="478"/>
      <c r="L107" s="487"/>
      <c r="M107" s="478">
        <f t="shared" ref="M107:M130" si="39">IF(L107&lt;&gt;0,+H107-L107,0)</f>
        <v>0</v>
      </c>
      <c r="N107" s="487"/>
      <c r="O107" s="478">
        <f t="shared" si="26"/>
        <v>0</v>
      </c>
      <c r="P107" s="478">
        <f t="shared" si="27"/>
        <v>0</v>
      </c>
    </row>
    <row r="108" spans="1:16">
      <c r="B108" s="160" t="str">
        <f t="shared" si="24"/>
        <v/>
      </c>
      <c r="C108" s="472">
        <f>IF(D93="","-",+C107+1)</f>
        <v>2023</v>
      </c>
      <c r="D108" s="347">
        <f>IF(F107+SUM(E$99:E107)=D$92,F107,D$92-SUM(E$99:E107))</f>
        <v>1409172</v>
      </c>
      <c r="E108" s="484">
        <f t="shared" si="34"/>
        <v>44247</v>
      </c>
      <c r="F108" s="485">
        <f t="shared" si="35"/>
        <v>1364925</v>
      </c>
      <c r="G108" s="485">
        <f t="shared" si="36"/>
        <v>1387048.5</v>
      </c>
      <c r="H108" s="486">
        <f t="shared" si="37"/>
        <v>197075.6833971907</v>
      </c>
      <c r="I108" s="542">
        <f t="shared" si="38"/>
        <v>197075.6833971907</v>
      </c>
      <c r="J108" s="478">
        <f t="shared" si="25"/>
        <v>0</v>
      </c>
      <c r="K108" s="478"/>
      <c r="L108" s="487"/>
      <c r="M108" s="478">
        <f t="shared" si="39"/>
        <v>0</v>
      </c>
      <c r="N108" s="487"/>
      <c r="O108" s="478">
        <f t="shared" si="26"/>
        <v>0</v>
      </c>
      <c r="P108" s="478">
        <f t="shared" si="27"/>
        <v>0</v>
      </c>
    </row>
    <row r="109" spans="1:16">
      <c r="B109" s="160" t="str">
        <f t="shared" si="24"/>
        <v/>
      </c>
      <c r="C109" s="472">
        <f>IF(D93="","-",+C108+1)</f>
        <v>2024</v>
      </c>
      <c r="D109" s="347">
        <f>IF(F108+SUM(E$99:E108)=D$92,F108,D$92-SUM(E$99:E108))</f>
        <v>1364925</v>
      </c>
      <c r="E109" s="484">
        <f t="shared" si="34"/>
        <v>44247</v>
      </c>
      <c r="F109" s="485">
        <f t="shared" si="35"/>
        <v>1320678</v>
      </c>
      <c r="G109" s="485">
        <f t="shared" si="36"/>
        <v>1342801.5</v>
      </c>
      <c r="H109" s="486">
        <f t="shared" si="37"/>
        <v>192200.43155540182</v>
      </c>
      <c r="I109" s="542">
        <f t="shared" si="38"/>
        <v>192200.43155540182</v>
      </c>
      <c r="J109" s="478">
        <f t="shared" si="25"/>
        <v>0</v>
      </c>
      <c r="K109" s="478"/>
      <c r="L109" s="487"/>
      <c r="M109" s="478">
        <f t="shared" si="39"/>
        <v>0</v>
      </c>
      <c r="N109" s="487"/>
      <c r="O109" s="478">
        <f t="shared" si="26"/>
        <v>0</v>
      </c>
      <c r="P109" s="478">
        <f t="shared" si="27"/>
        <v>0</v>
      </c>
    </row>
    <row r="110" spans="1:16">
      <c r="B110" s="160" t="str">
        <f t="shared" si="24"/>
        <v/>
      </c>
      <c r="C110" s="472">
        <f>IF(D93="","-",+C109+1)</f>
        <v>2025</v>
      </c>
      <c r="D110" s="347">
        <f>IF(F109+SUM(E$99:E109)=D$92,F109,D$92-SUM(E$99:E109))</f>
        <v>1320678</v>
      </c>
      <c r="E110" s="484">
        <f t="shared" si="34"/>
        <v>44247</v>
      </c>
      <c r="F110" s="485">
        <f t="shared" si="35"/>
        <v>1276431</v>
      </c>
      <c r="G110" s="485">
        <f t="shared" si="36"/>
        <v>1298554.5</v>
      </c>
      <c r="H110" s="486">
        <f t="shared" si="37"/>
        <v>187325.17971361298</v>
      </c>
      <c r="I110" s="542">
        <f t="shared" si="38"/>
        <v>187325.17971361298</v>
      </c>
      <c r="J110" s="478">
        <f t="shared" si="25"/>
        <v>0</v>
      </c>
      <c r="K110" s="478"/>
      <c r="L110" s="487"/>
      <c r="M110" s="478">
        <f t="shared" si="39"/>
        <v>0</v>
      </c>
      <c r="N110" s="487"/>
      <c r="O110" s="478">
        <f t="shared" si="26"/>
        <v>0</v>
      </c>
      <c r="P110" s="478">
        <f t="shared" si="27"/>
        <v>0</v>
      </c>
    </row>
    <row r="111" spans="1:16">
      <c r="B111" s="160" t="str">
        <f t="shared" si="24"/>
        <v/>
      </c>
      <c r="C111" s="472">
        <f>IF(D93="","-",+C110+1)</f>
        <v>2026</v>
      </c>
      <c r="D111" s="347">
        <f>IF(F110+SUM(E$99:E110)=D$92,F110,D$92-SUM(E$99:E110))</f>
        <v>1276431</v>
      </c>
      <c r="E111" s="484">
        <f t="shared" si="34"/>
        <v>44247</v>
      </c>
      <c r="F111" s="485">
        <f t="shared" si="35"/>
        <v>1232184</v>
      </c>
      <c r="G111" s="485">
        <f t="shared" si="36"/>
        <v>1254307.5</v>
      </c>
      <c r="H111" s="486">
        <f t="shared" si="37"/>
        <v>182449.9278718241</v>
      </c>
      <c r="I111" s="542">
        <f t="shared" si="38"/>
        <v>182449.9278718241</v>
      </c>
      <c r="J111" s="478">
        <f t="shared" si="25"/>
        <v>0</v>
      </c>
      <c r="K111" s="478"/>
      <c r="L111" s="487"/>
      <c r="M111" s="478">
        <f t="shared" si="39"/>
        <v>0</v>
      </c>
      <c r="N111" s="487"/>
      <c r="O111" s="478">
        <f t="shared" si="26"/>
        <v>0</v>
      </c>
      <c r="P111" s="478">
        <f t="shared" si="27"/>
        <v>0</v>
      </c>
    </row>
    <row r="112" spans="1:16">
      <c r="B112" s="160" t="str">
        <f t="shared" si="24"/>
        <v/>
      </c>
      <c r="C112" s="472">
        <f>IF(D93="","-",+C111+1)</f>
        <v>2027</v>
      </c>
      <c r="D112" s="347">
        <f>IF(F111+SUM(E$99:E111)=D$92,F111,D$92-SUM(E$99:E111))</f>
        <v>1232184</v>
      </c>
      <c r="E112" s="484">
        <f t="shared" si="34"/>
        <v>44247</v>
      </c>
      <c r="F112" s="485">
        <f t="shared" si="35"/>
        <v>1187937</v>
      </c>
      <c r="G112" s="485">
        <f t="shared" si="36"/>
        <v>1210060.5</v>
      </c>
      <c r="H112" s="486">
        <f t="shared" si="37"/>
        <v>177574.67603003522</v>
      </c>
      <c r="I112" s="542">
        <f t="shared" si="38"/>
        <v>177574.67603003522</v>
      </c>
      <c r="J112" s="478">
        <f t="shared" si="25"/>
        <v>0</v>
      </c>
      <c r="K112" s="478"/>
      <c r="L112" s="487"/>
      <c r="M112" s="478">
        <f t="shared" si="39"/>
        <v>0</v>
      </c>
      <c r="N112" s="487"/>
      <c r="O112" s="478">
        <f t="shared" si="26"/>
        <v>0</v>
      </c>
      <c r="P112" s="478">
        <f t="shared" si="27"/>
        <v>0</v>
      </c>
    </row>
    <row r="113" spans="2:16">
      <c r="B113" s="160" t="str">
        <f t="shared" si="24"/>
        <v/>
      </c>
      <c r="C113" s="472">
        <f>IF(D93="","-",+C112+1)</f>
        <v>2028</v>
      </c>
      <c r="D113" s="347">
        <f>IF(F112+SUM(E$99:E112)=D$92,F112,D$92-SUM(E$99:E112))</f>
        <v>1187937</v>
      </c>
      <c r="E113" s="484">
        <f t="shared" si="34"/>
        <v>44247</v>
      </c>
      <c r="F113" s="485">
        <f t="shared" si="35"/>
        <v>1143690</v>
      </c>
      <c r="G113" s="485">
        <f t="shared" si="36"/>
        <v>1165813.5</v>
      </c>
      <c r="H113" s="486">
        <f t="shared" si="37"/>
        <v>172699.42418824634</v>
      </c>
      <c r="I113" s="542">
        <f t="shared" si="38"/>
        <v>172699.42418824634</v>
      </c>
      <c r="J113" s="478">
        <f t="shared" si="25"/>
        <v>0</v>
      </c>
      <c r="K113" s="478"/>
      <c r="L113" s="487"/>
      <c r="M113" s="478">
        <f t="shared" si="39"/>
        <v>0</v>
      </c>
      <c r="N113" s="487"/>
      <c r="O113" s="478">
        <f t="shared" si="26"/>
        <v>0</v>
      </c>
      <c r="P113" s="478">
        <f t="shared" si="27"/>
        <v>0</v>
      </c>
    </row>
    <row r="114" spans="2:16">
      <c r="B114" s="160" t="str">
        <f t="shared" si="24"/>
        <v/>
      </c>
      <c r="C114" s="472">
        <f>IF(D93="","-",+C113+1)</f>
        <v>2029</v>
      </c>
      <c r="D114" s="347">
        <f>IF(F113+SUM(E$99:E113)=D$92,F113,D$92-SUM(E$99:E113))</f>
        <v>1143690</v>
      </c>
      <c r="E114" s="484">
        <f t="shared" si="34"/>
        <v>44247</v>
      </c>
      <c r="F114" s="485">
        <f t="shared" si="35"/>
        <v>1099443</v>
      </c>
      <c r="G114" s="485">
        <f t="shared" si="36"/>
        <v>1121566.5</v>
      </c>
      <c r="H114" s="486">
        <f t="shared" si="37"/>
        <v>167824.17234645746</v>
      </c>
      <c r="I114" s="542">
        <f t="shared" si="38"/>
        <v>167824.17234645746</v>
      </c>
      <c r="J114" s="478">
        <f t="shared" si="25"/>
        <v>0</v>
      </c>
      <c r="K114" s="478"/>
      <c r="L114" s="487"/>
      <c r="M114" s="478">
        <f t="shared" si="39"/>
        <v>0</v>
      </c>
      <c r="N114" s="487"/>
      <c r="O114" s="478">
        <f t="shared" si="26"/>
        <v>0</v>
      </c>
      <c r="P114" s="478">
        <f t="shared" si="27"/>
        <v>0</v>
      </c>
    </row>
    <row r="115" spans="2:16">
      <c r="B115" s="160" t="str">
        <f t="shared" si="24"/>
        <v/>
      </c>
      <c r="C115" s="472">
        <f>IF(D93="","-",+C114+1)</f>
        <v>2030</v>
      </c>
      <c r="D115" s="347">
        <f>IF(F114+SUM(E$99:E114)=D$92,F114,D$92-SUM(E$99:E114))</f>
        <v>1099443</v>
      </c>
      <c r="E115" s="484">
        <f t="shared" si="34"/>
        <v>44247</v>
      </c>
      <c r="F115" s="485">
        <f t="shared" si="35"/>
        <v>1055196</v>
      </c>
      <c r="G115" s="485">
        <f t="shared" si="36"/>
        <v>1077319.5</v>
      </c>
      <c r="H115" s="486">
        <f t="shared" si="37"/>
        <v>162948.92050466858</v>
      </c>
      <c r="I115" s="542">
        <f t="shared" si="38"/>
        <v>162948.92050466858</v>
      </c>
      <c r="J115" s="478">
        <f t="shared" si="25"/>
        <v>0</v>
      </c>
      <c r="K115" s="478"/>
      <c r="L115" s="487"/>
      <c r="M115" s="478">
        <f t="shared" si="39"/>
        <v>0</v>
      </c>
      <c r="N115" s="487"/>
      <c r="O115" s="478">
        <f t="shared" si="26"/>
        <v>0</v>
      </c>
      <c r="P115" s="478">
        <f t="shared" si="27"/>
        <v>0</v>
      </c>
    </row>
    <row r="116" spans="2:16">
      <c r="B116" s="160" t="str">
        <f t="shared" si="24"/>
        <v/>
      </c>
      <c r="C116" s="472">
        <f>IF(D93="","-",+C115+1)</f>
        <v>2031</v>
      </c>
      <c r="D116" s="347">
        <f>IF(F115+SUM(E$99:E115)=D$92,F115,D$92-SUM(E$99:E115))</f>
        <v>1055196</v>
      </c>
      <c r="E116" s="484">
        <f t="shared" si="34"/>
        <v>44247</v>
      </c>
      <c r="F116" s="485">
        <f t="shared" si="35"/>
        <v>1010949</v>
      </c>
      <c r="G116" s="485">
        <f t="shared" si="36"/>
        <v>1033072.5</v>
      </c>
      <c r="H116" s="486">
        <f t="shared" si="37"/>
        <v>158073.6686628797</v>
      </c>
      <c r="I116" s="542">
        <f t="shared" si="38"/>
        <v>158073.6686628797</v>
      </c>
      <c r="J116" s="478">
        <f t="shared" si="25"/>
        <v>0</v>
      </c>
      <c r="K116" s="478"/>
      <c r="L116" s="487"/>
      <c r="M116" s="478">
        <f t="shared" si="39"/>
        <v>0</v>
      </c>
      <c r="N116" s="487"/>
      <c r="O116" s="478">
        <f t="shared" si="26"/>
        <v>0</v>
      </c>
      <c r="P116" s="478">
        <f t="shared" si="27"/>
        <v>0</v>
      </c>
    </row>
    <row r="117" spans="2:16">
      <c r="B117" s="160" t="str">
        <f t="shared" si="24"/>
        <v/>
      </c>
      <c r="C117" s="472">
        <f>IF(D93="","-",+C116+1)</f>
        <v>2032</v>
      </c>
      <c r="D117" s="347">
        <f>IF(F116+SUM(E$99:E116)=D$92,F116,D$92-SUM(E$99:E116))</f>
        <v>1010949</v>
      </c>
      <c r="E117" s="484">
        <f t="shared" si="34"/>
        <v>44247</v>
      </c>
      <c r="F117" s="485">
        <f t="shared" si="35"/>
        <v>966702</v>
      </c>
      <c r="G117" s="485">
        <f t="shared" si="36"/>
        <v>988825.5</v>
      </c>
      <c r="H117" s="486">
        <f t="shared" si="37"/>
        <v>153198.41682109085</v>
      </c>
      <c r="I117" s="542">
        <f t="shared" si="38"/>
        <v>153198.41682109085</v>
      </c>
      <c r="J117" s="478">
        <f t="shared" si="25"/>
        <v>0</v>
      </c>
      <c r="K117" s="478"/>
      <c r="L117" s="487"/>
      <c r="M117" s="478">
        <f t="shared" si="39"/>
        <v>0</v>
      </c>
      <c r="N117" s="487"/>
      <c r="O117" s="478">
        <f t="shared" si="26"/>
        <v>0</v>
      </c>
      <c r="P117" s="478">
        <f t="shared" si="27"/>
        <v>0</v>
      </c>
    </row>
    <row r="118" spans="2:16">
      <c r="B118" s="160" t="str">
        <f t="shared" si="24"/>
        <v/>
      </c>
      <c r="C118" s="472">
        <f>IF(D93="","-",+C117+1)</f>
        <v>2033</v>
      </c>
      <c r="D118" s="347">
        <f>IF(F117+SUM(E$99:E117)=D$92,F117,D$92-SUM(E$99:E117))</f>
        <v>966702</v>
      </c>
      <c r="E118" s="484">
        <f t="shared" si="34"/>
        <v>44247</v>
      </c>
      <c r="F118" s="485">
        <f t="shared" si="35"/>
        <v>922455</v>
      </c>
      <c r="G118" s="485">
        <f t="shared" si="36"/>
        <v>944578.5</v>
      </c>
      <c r="H118" s="486">
        <f t="shared" si="37"/>
        <v>148323.16497930198</v>
      </c>
      <c r="I118" s="542">
        <f t="shared" si="38"/>
        <v>148323.16497930198</v>
      </c>
      <c r="J118" s="478">
        <f t="shared" si="25"/>
        <v>0</v>
      </c>
      <c r="K118" s="478"/>
      <c r="L118" s="487"/>
      <c r="M118" s="478">
        <f t="shared" si="39"/>
        <v>0</v>
      </c>
      <c r="N118" s="487"/>
      <c r="O118" s="478">
        <f t="shared" si="26"/>
        <v>0</v>
      </c>
      <c r="P118" s="478">
        <f t="shared" si="27"/>
        <v>0</v>
      </c>
    </row>
    <row r="119" spans="2:16">
      <c r="B119" s="160" t="str">
        <f t="shared" si="24"/>
        <v/>
      </c>
      <c r="C119" s="472">
        <f>IF(D93="","-",+C118+1)</f>
        <v>2034</v>
      </c>
      <c r="D119" s="347">
        <f>IF(F118+SUM(E$99:E118)=D$92,F118,D$92-SUM(E$99:E118))</f>
        <v>922455</v>
      </c>
      <c r="E119" s="484">
        <f t="shared" si="34"/>
        <v>44247</v>
      </c>
      <c r="F119" s="485">
        <f t="shared" si="35"/>
        <v>878208</v>
      </c>
      <c r="G119" s="485">
        <f t="shared" si="36"/>
        <v>900331.5</v>
      </c>
      <c r="H119" s="486">
        <f t="shared" si="37"/>
        <v>143447.9131375131</v>
      </c>
      <c r="I119" s="542">
        <f t="shared" si="38"/>
        <v>143447.9131375131</v>
      </c>
      <c r="J119" s="478">
        <f t="shared" si="25"/>
        <v>0</v>
      </c>
      <c r="K119" s="478"/>
      <c r="L119" s="487"/>
      <c r="M119" s="478">
        <f t="shared" si="39"/>
        <v>0</v>
      </c>
      <c r="N119" s="487"/>
      <c r="O119" s="478">
        <f t="shared" si="26"/>
        <v>0</v>
      </c>
      <c r="P119" s="478">
        <f t="shared" si="27"/>
        <v>0</v>
      </c>
    </row>
    <row r="120" spans="2:16">
      <c r="B120" s="160" t="str">
        <f t="shared" si="24"/>
        <v/>
      </c>
      <c r="C120" s="472">
        <f>IF(D93="","-",+C119+1)</f>
        <v>2035</v>
      </c>
      <c r="D120" s="347">
        <f>IF(F119+SUM(E$99:E119)=D$92,F119,D$92-SUM(E$99:E119))</f>
        <v>878208</v>
      </c>
      <c r="E120" s="484">
        <f t="shared" si="34"/>
        <v>44247</v>
      </c>
      <c r="F120" s="485">
        <f t="shared" si="35"/>
        <v>833961</v>
      </c>
      <c r="G120" s="485">
        <f t="shared" si="36"/>
        <v>856084.5</v>
      </c>
      <c r="H120" s="486">
        <f t="shared" si="37"/>
        <v>138572.66129572422</v>
      </c>
      <c r="I120" s="542">
        <f t="shared" si="38"/>
        <v>138572.66129572422</v>
      </c>
      <c r="J120" s="478">
        <f t="shared" si="25"/>
        <v>0</v>
      </c>
      <c r="K120" s="478"/>
      <c r="L120" s="487"/>
      <c r="M120" s="478">
        <f t="shared" si="39"/>
        <v>0</v>
      </c>
      <c r="N120" s="487"/>
      <c r="O120" s="478">
        <f t="shared" si="26"/>
        <v>0</v>
      </c>
      <c r="P120" s="478">
        <f t="shared" si="27"/>
        <v>0</v>
      </c>
    </row>
    <row r="121" spans="2:16">
      <c r="B121" s="160" t="str">
        <f t="shared" si="24"/>
        <v/>
      </c>
      <c r="C121" s="472">
        <f>IF(D93="","-",+C120+1)</f>
        <v>2036</v>
      </c>
      <c r="D121" s="347">
        <f>IF(F120+SUM(E$99:E120)=D$92,F120,D$92-SUM(E$99:E120))</f>
        <v>833961</v>
      </c>
      <c r="E121" s="484">
        <f t="shared" si="34"/>
        <v>44247</v>
      </c>
      <c r="F121" s="485">
        <f t="shared" si="35"/>
        <v>789714</v>
      </c>
      <c r="G121" s="485">
        <f t="shared" si="36"/>
        <v>811837.5</v>
      </c>
      <c r="H121" s="486">
        <f t="shared" si="37"/>
        <v>133697.40945393534</v>
      </c>
      <c r="I121" s="542">
        <f t="shared" si="38"/>
        <v>133697.40945393534</v>
      </c>
      <c r="J121" s="478">
        <f t="shared" si="25"/>
        <v>0</v>
      </c>
      <c r="K121" s="478"/>
      <c r="L121" s="487"/>
      <c r="M121" s="478">
        <f t="shared" si="39"/>
        <v>0</v>
      </c>
      <c r="N121" s="487"/>
      <c r="O121" s="478">
        <f t="shared" si="26"/>
        <v>0</v>
      </c>
      <c r="P121" s="478">
        <f t="shared" si="27"/>
        <v>0</v>
      </c>
    </row>
    <row r="122" spans="2:16">
      <c r="B122" s="160" t="str">
        <f t="shared" si="24"/>
        <v/>
      </c>
      <c r="C122" s="472">
        <f>IF(D93="","-",+C121+1)</f>
        <v>2037</v>
      </c>
      <c r="D122" s="347">
        <f>IF(F121+SUM(E$99:E121)=D$92,F121,D$92-SUM(E$99:E121))</f>
        <v>789714</v>
      </c>
      <c r="E122" s="484">
        <f t="shared" si="34"/>
        <v>44247</v>
      </c>
      <c r="F122" s="485">
        <f t="shared" si="35"/>
        <v>745467</v>
      </c>
      <c r="G122" s="485">
        <f t="shared" si="36"/>
        <v>767590.5</v>
      </c>
      <c r="H122" s="486">
        <f t="shared" si="37"/>
        <v>128822.15761214645</v>
      </c>
      <c r="I122" s="542">
        <f t="shared" si="38"/>
        <v>128822.15761214645</v>
      </c>
      <c r="J122" s="478">
        <f t="shared" si="25"/>
        <v>0</v>
      </c>
      <c r="K122" s="478"/>
      <c r="L122" s="487"/>
      <c r="M122" s="478">
        <f t="shared" si="39"/>
        <v>0</v>
      </c>
      <c r="N122" s="487"/>
      <c r="O122" s="478">
        <f t="shared" si="26"/>
        <v>0</v>
      </c>
      <c r="P122" s="478">
        <f t="shared" si="27"/>
        <v>0</v>
      </c>
    </row>
    <row r="123" spans="2:16">
      <c r="B123" s="160" t="str">
        <f t="shared" si="24"/>
        <v/>
      </c>
      <c r="C123" s="472">
        <f>IF(D93="","-",+C122+1)</f>
        <v>2038</v>
      </c>
      <c r="D123" s="347">
        <f>IF(F122+SUM(E$99:E122)=D$92,F122,D$92-SUM(E$99:E122))</f>
        <v>745467</v>
      </c>
      <c r="E123" s="484">
        <f t="shared" si="34"/>
        <v>44247</v>
      </c>
      <c r="F123" s="485">
        <f t="shared" si="35"/>
        <v>701220</v>
      </c>
      <c r="G123" s="485">
        <f t="shared" si="36"/>
        <v>723343.5</v>
      </c>
      <c r="H123" s="486">
        <f t="shared" si="37"/>
        <v>123946.90577035758</v>
      </c>
      <c r="I123" s="542">
        <f t="shared" si="38"/>
        <v>123946.90577035758</v>
      </c>
      <c r="J123" s="478">
        <f t="shared" si="25"/>
        <v>0</v>
      </c>
      <c r="K123" s="478"/>
      <c r="L123" s="487"/>
      <c r="M123" s="478">
        <f t="shared" si="39"/>
        <v>0</v>
      </c>
      <c r="N123" s="487"/>
      <c r="O123" s="478">
        <f t="shared" si="26"/>
        <v>0</v>
      </c>
      <c r="P123" s="478">
        <f t="shared" si="27"/>
        <v>0</v>
      </c>
    </row>
    <row r="124" spans="2:16">
      <c r="B124" s="160" t="str">
        <f t="shared" si="24"/>
        <v/>
      </c>
      <c r="C124" s="472">
        <f>IF(D93="","-",+C123+1)</f>
        <v>2039</v>
      </c>
      <c r="D124" s="347">
        <f>IF(F123+SUM(E$99:E123)=D$92,F123,D$92-SUM(E$99:E123))</f>
        <v>701220</v>
      </c>
      <c r="E124" s="484">
        <f t="shared" si="34"/>
        <v>44247</v>
      </c>
      <c r="F124" s="485">
        <f t="shared" si="35"/>
        <v>656973</v>
      </c>
      <c r="G124" s="485">
        <f t="shared" si="36"/>
        <v>679096.5</v>
      </c>
      <c r="H124" s="486">
        <f t="shared" si="37"/>
        <v>119071.6539285687</v>
      </c>
      <c r="I124" s="542">
        <f t="shared" si="38"/>
        <v>119071.6539285687</v>
      </c>
      <c r="J124" s="478">
        <f t="shared" si="25"/>
        <v>0</v>
      </c>
      <c r="K124" s="478"/>
      <c r="L124" s="487"/>
      <c r="M124" s="478">
        <f t="shared" si="39"/>
        <v>0</v>
      </c>
      <c r="N124" s="487"/>
      <c r="O124" s="478">
        <f t="shared" si="26"/>
        <v>0</v>
      </c>
      <c r="P124" s="478">
        <f t="shared" si="27"/>
        <v>0</v>
      </c>
    </row>
    <row r="125" spans="2:16">
      <c r="B125" s="160" t="str">
        <f t="shared" si="24"/>
        <v/>
      </c>
      <c r="C125" s="472">
        <f>IF(D93="","-",+C124+1)</f>
        <v>2040</v>
      </c>
      <c r="D125" s="347">
        <f>IF(F124+SUM(E$99:E124)=D$92,F124,D$92-SUM(E$99:E124))</f>
        <v>656973</v>
      </c>
      <c r="E125" s="484">
        <f t="shared" si="34"/>
        <v>44247</v>
      </c>
      <c r="F125" s="485">
        <f t="shared" si="35"/>
        <v>612726</v>
      </c>
      <c r="G125" s="485">
        <f t="shared" si="36"/>
        <v>634849.5</v>
      </c>
      <c r="H125" s="486">
        <f t="shared" si="37"/>
        <v>114196.40208677982</v>
      </c>
      <c r="I125" s="542">
        <f t="shared" si="38"/>
        <v>114196.40208677982</v>
      </c>
      <c r="J125" s="478">
        <f t="shared" si="25"/>
        <v>0</v>
      </c>
      <c r="K125" s="478"/>
      <c r="L125" s="487"/>
      <c r="M125" s="478">
        <f t="shared" si="39"/>
        <v>0</v>
      </c>
      <c r="N125" s="487"/>
      <c r="O125" s="478">
        <f t="shared" si="26"/>
        <v>0</v>
      </c>
      <c r="P125" s="478">
        <f t="shared" si="27"/>
        <v>0</v>
      </c>
    </row>
    <row r="126" spans="2:16">
      <c r="B126" s="160" t="str">
        <f t="shared" si="24"/>
        <v/>
      </c>
      <c r="C126" s="472">
        <f>IF(D93="","-",+C125+1)</f>
        <v>2041</v>
      </c>
      <c r="D126" s="347">
        <f>IF(F125+SUM(E$99:E125)=D$92,F125,D$92-SUM(E$99:E125))</f>
        <v>612726</v>
      </c>
      <c r="E126" s="484">
        <f t="shared" si="34"/>
        <v>44247</v>
      </c>
      <c r="F126" s="485">
        <f t="shared" si="35"/>
        <v>568479</v>
      </c>
      <c r="G126" s="485">
        <f t="shared" si="36"/>
        <v>590602.5</v>
      </c>
      <c r="H126" s="486">
        <f t="shared" si="37"/>
        <v>109321.15024499095</v>
      </c>
      <c r="I126" s="542">
        <f t="shared" si="38"/>
        <v>109321.15024499095</v>
      </c>
      <c r="J126" s="478">
        <f t="shared" si="25"/>
        <v>0</v>
      </c>
      <c r="K126" s="478"/>
      <c r="L126" s="487"/>
      <c r="M126" s="478">
        <f t="shared" si="39"/>
        <v>0</v>
      </c>
      <c r="N126" s="487"/>
      <c r="O126" s="478">
        <f t="shared" si="26"/>
        <v>0</v>
      </c>
      <c r="P126" s="478">
        <f t="shared" si="27"/>
        <v>0</v>
      </c>
    </row>
    <row r="127" spans="2:16">
      <c r="B127" s="160" t="str">
        <f t="shared" si="24"/>
        <v/>
      </c>
      <c r="C127" s="472">
        <f>IF(D93="","-",+C126+1)</f>
        <v>2042</v>
      </c>
      <c r="D127" s="347">
        <f>IF(F126+SUM(E$99:E126)=D$92,F126,D$92-SUM(E$99:E126))</f>
        <v>568479</v>
      </c>
      <c r="E127" s="484">
        <f t="shared" si="34"/>
        <v>44247</v>
      </c>
      <c r="F127" s="485">
        <f t="shared" si="35"/>
        <v>524232</v>
      </c>
      <c r="G127" s="485">
        <f t="shared" si="36"/>
        <v>546355.5</v>
      </c>
      <c r="H127" s="486">
        <f t="shared" si="37"/>
        <v>104445.89840320207</v>
      </c>
      <c r="I127" s="542">
        <f t="shared" si="38"/>
        <v>104445.89840320207</v>
      </c>
      <c r="J127" s="478">
        <f t="shared" si="25"/>
        <v>0</v>
      </c>
      <c r="K127" s="478"/>
      <c r="L127" s="487"/>
      <c r="M127" s="478">
        <f t="shared" si="39"/>
        <v>0</v>
      </c>
      <c r="N127" s="487"/>
      <c r="O127" s="478">
        <f t="shared" si="26"/>
        <v>0</v>
      </c>
      <c r="P127" s="478">
        <f t="shared" si="27"/>
        <v>0</v>
      </c>
    </row>
    <row r="128" spans="2:16">
      <c r="B128" s="160" t="str">
        <f t="shared" si="24"/>
        <v/>
      </c>
      <c r="C128" s="472">
        <f>IF(D93="","-",+C127+1)</f>
        <v>2043</v>
      </c>
      <c r="D128" s="347">
        <f>IF(F127+SUM(E$99:E127)=D$92,F127,D$92-SUM(E$99:E127))</f>
        <v>524232</v>
      </c>
      <c r="E128" s="484">
        <f t="shared" si="34"/>
        <v>44247</v>
      </c>
      <c r="F128" s="485">
        <f t="shared" si="35"/>
        <v>479985</v>
      </c>
      <c r="G128" s="485">
        <f t="shared" si="36"/>
        <v>502108.5</v>
      </c>
      <c r="H128" s="486">
        <f t="shared" si="37"/>
        <v>99570.646561413188</v>
      </c>
      <c r="I128" s="542">
        <f t="shared" si="38"/>
        <v>99570.646561413188</v>
      </c>
      <c r="J128" s="478">
        <f t="shared" si="25"/>
        <v>0</v>
      </c>
      <c r="K128" s="478"/>
      <c r="L128" s="487"/>
      <c r="M128" s="478">
        <f t="shared" si="39"/>
        <v>0</v>
      </c>
      <c r="N128" s="487"/>
      <c r="O128" s="478">
        <f t="shared" si="26"/>
        <v>0</v>
      </c>
      <c r="P128" s="478">
        <f t="shared" si="27"/>
        <v>0</v>
      </c>
    </row>
    <row r="129" spans="2:16">
      <c r="B129" s="160" t="str">
        <f t="shared" si="24"/>
        <v/>
      </c>
      <c r="C129" s="472">
        <f>IF(D93="","-",+C128+1)</f>
        <v>2044</v>
      </c>
      <c r="D129" s="347">
        <f>IF(F128+SUM(E$99:E128)=D$92,F128,D$92-SUM(E$99:E128))</f>
        <v>479985</v>
      </c>
      <c r="E129" s="484">
        <f t="shared" si="34"/>
        <v>44247</v>
      </c>
      <c r="F129" s="485">
        <f t="shared" si="35"/>
        <v>435738</v>
      </c>
      <c r="G129" s="485">
        <f t="shared" si="36"/>
        <v>457861.5</v>
      </c>
      <c r="H129" s="486">
        <f t="shared" si="37"/>
        <v>94695.394719624324</v>
      </c>
      <c r="I129" s="542">
        <f t="shared" si="38"/>
        <v>94695.394719624324</v>
      </c>
      <c r="J129" s="478">
        <f t="shared" si="25"/>
        <v>0</v>
      </c>
      <c r="K129" s="478"/>
      <c r="L129" s="487"/>
      <c r="M129" s="478">
        <f t="shared" si="39"/>
        <v>0</v>
      </c>
      <c r="N129" s="487"/>
      <c r="O129" s="478">
        <f t="shared" si="26"/>
        <v>0</v>
      </c>
      <c r="P129" s="478">
        <f t="shared" si="27"/>
        <v>0</v>
      </c>
    </row>
    <row r="130" spans="2:16">
      <c r="B130" s="160" t="str">
        <f t="shared" si="24"/>
        <v/>
      </c>
      <c r="C130" s="472">
        <f>IF(D93="","-",+C129+1)</f>
        <v>2045</v>
      </c>
      <c r="D130" s="347">
        <f>IF(F129+SUM(E$99:E129)=D$92,F129,D$92-SUM(E$99:E129))</f>
        <v>435738</v>
      </c>
      <c r="E130" s="484">
        <f t="shared" si="34"/>
        <v>44247</v>
      </c>
      <c r="F130" s="485">
        <f t="shared" si="35"/>
        <v>391491</v>
      </c>
      <c r="G130" s="485">
        <f t="shared" si="36"/>
        <v>413614.5</v>
      </c>
      <c r="H130" s="486">
        <f t="shared" si="37"/>
        <v>89820.142877835446</v>
      </c>
      <c r="I130" s="542">
        <f t="shared" si="38"/>
        <v>89820.142877835446</v>
      </c>
      <c r="J130" s="478">
        <f t="shared" si="25"/>
        <v>0</v>
      </c>
      <c r="K130" s="478"/>
      <c r="L130" s="487"/>
      <c r="M130" s="478">
        <f t="shared" si="39"/>
        <v>0</v>
      </c>
      <c r="N130" s="487"/>
      <c r="O130" s="478">
        <f t="shared" si="26"/>
        <v>0</v>
      </c>
      <c r="P130" s="478">
        <f t="shared" si="27"/>
        <v>0</v>
      </c>
    </row>
    <row r="131" spans="2:16">
      <c r="B131" s="160" t="str">
        <f t="shared" si="24"/>
        <v/>
      </c>
      <c r="C131" s="472">
        <f>IF(D93="","-",+C130+1)</f>
        <v>2046</v>
      </c>
      <c r="D131" s="347">
        <f>IF(F130+SUM(E$99:E130)=D$92,F130,D$92-SUM(E$99:E130))</f>
        <v>391491</v>
      </c>
      <c r="E131" s="484">
        <f t="shared" si="34"/>
        <v>44247</v>
      </c>
      <c r="F131" s="485">
        <f t="shared" si="35"/>
        <v>347244</v>
      </c>
      <c r="G131" s="485">
        <f t="shared" si="36"/>
        <v>369367.5</v>
      </c>
      <c r="H131" s="486">
        <f t="shared" si="37"/>
        <v>84944.891036046567</v>
      </c>
      <c r="I131" s="542">
        <f t="shared" si="38"/>
        <v>84944.891036046567</v>
      </c>
      <c r="J131" s="478">
        <f t="shared" si="25"/>
        <v>0</v>
      </c>
      <c r="K131" s="478"/>
      <c r="L131" s="487"/>
      <c r="M131" s="478">
        <f t="shared" ref="M131:M154" si="40">IF(L541&lt;&gt;0,+H541-L541,0)</f>
        <v>0</v>
      </c>
      <c r="N131" s="487"/>
      <c r="O131" s="478">
        <f t="shared" ref="O131:O154" si="41">IF(N541&lt;&gt;0,+I541-N541,0)</f>
        <v>0</v>
      </c>
      <c r="P131" s="478">
        <f t="shared" ref="P131:P154" si="42">+O541-M541</f>
        <v>0</v>
      </c>
    </row>
    <row r="132" spans="2:16">
      <c r="B132" s="160" t="str">
        <f t="shared" si="24"/>
        <v/>
      </c>
      <c r="C132" s="472">
        <f>IF(D93="","-",+C131+1)</f>
        <v>2047</v>
      </c>
      <c r="D132" s="347">
        <f>IF(F131+SUM(E$99:E131)=D$92,F131,D$92-SUM(E$99:E131))</f>
        <v>347244</v>
      </c>
      <c r="E132" s="484">
        <f t="shared" si="34"/>
        <v>44247</v>
      </c>
      <c r="F132" s="485">
        <f t="shared" si="35"/>
        <v>302997</v>
      </c>
      <c r="G132" s="485">
        <f t="shared" si="36"/>
        <v>325120.5</v>
      </c>
      <c r="H132" s="486">
        <f t="shared" si="37"/>
        <v>80069.639194257703</v>
      </c>
      <c r="I132" s="542">
        <f t="shared" si="38"/>
        <v>80069.639194257703</v>
      </c>
      <c r="J132" s="478">
        <f t="shared" si="25"/>
        <v>0</v>
      </c>
      <c r="K132" s="478"/>
      <c r="L132" s="487"/>
      <c r="M132" s="478">
        <f t="shared" si="40"/>
        <v>0</v>
      </c>
      <c r="N132" s="487"/>
      <c r="O132" s="478">
        <f t="shared" si="41"/>
        <v>0</v>
      </c>
      <c r="P132" s="478">
        <f t="shared" si="42"/>
        <v>0</v>
      </c>
    </row>
    <row r="133" spans="2:16">
      <c r="B133" s="160" t="str">
        <f t="shared" si="24"/>
        <v/>
      </c>
      <c r="C133" s="472">
        <f>IF(D93="","-",+C132+1)</f>
        <v>2048</v>
      </c>
      <c r="D133" s="347">
        <f>IF(F132+SUM(E$99:E132)=D$92,F132,D$92-SUM(E$99:E132))</f>
        <v>302997</v>
      </c>
      <c r="E133" s="484">
        <f t="shared" si="34"/>
        <v>44247</v>
      </c>
      <c r="F133" s="485">
        <f t="shared" si="35"/>
        <v>258750</v>
      </c>
      <c r="G133" s="485">
        <f t="shared" si="36"/>
        <v>280873.5</v>
      </c>
      <c r="H133" s="486">
        <f t="shared" si="37"/>
        <v>75194.387352468824</v>
      </c>
      <c r="I133" s="542">
        <f t="shared" si="38"/>
        <v>75194.387352468824</v>
      </c>
      <c r="J133" s="478">
        <f t="shared" si="25"/>
        <v>0</v>
      </c>
      <c r="K133" s="478"/>
      <c r="L133" s="487"/>
      <c r="M133" s="478">
        <f t="shared" si="40"/>
        <v>0</v>
      </c>
      <c r="N133" s="487"/>
      <c r="O133" s="478">
        <f t="shared" si="41"/>
        <v>0</v>
      </c>
      <c r="P133" s="478">
        <f t="shared" si="42"/>
        <v>0</v>
      </c>
    </row>
    <row r="134" spans="2:16">
      <c r="B134" s="160" t="str">
        <f t="shared" si="24"/>
        <v/>
      </c>
      <c r="C134" s="472">
        <f>IF(D93="","-",+C133+1)</f>
        <v>2049</v>
      </c>
      <c r="D134" s="347">
        <f>IF(F133+SUM(E$99:E133)=D$92,F133,D$92-SUM(E$99:E133))</f>
        <v>258750</v>
      </c>
      <c r="E134" s="484">
        <f t="shared" si="34"/>
        <v>44247</v>
      </c>
      <c r="F134" s="485">
        <f t="shared" si="35"/>
        <v>214503</v>
      </c>
      <c r="G134" s="485">
        <f t="shared" si="36"/>
        <v>236626.5</v>
      </c>
      <c r="H134" s="486">
        <f t="shared" si="37"/>
        <v>70319.135510679946</v>
      </c>
      <c r="I134" s="542">
        <f t="shared" si="38"/>
        <v>70319.135510679946</v>
      </c>
      <c r="J134" s="478">
        <f t="shared" si="25"/>
        <v>0</v>
      </c>
      <c r="K134" s="478"/>
      <c r="L134" s="487"/>
      <c r="M134" s="478">
        <f t="shared" si="40"/>
        <v>0</v>
      </c>
      <c r="N134" s="487"/>
      <c r="O134" s="478">
        <f t="shared" si="41"/>
        <v>0</v>
      </c>
      <c r="P134" s="478">
        <f t="shared" si="42"/>
        <v>0</v>
      </c>
    </row>
    <row r="135" spans="2:16">
      <c r="B135" s="160" t="str">
        <f t="shared" si="24"/>
        <v/>
      </c>
      <c r="C135" s="472">
        <f>IF(D93="","-",+C134+1)</f>
        <v>2050</v>
      </c>
      <c r="D135" s="347">
        <f>IF(F134+SUM(E$99:E134)=D$92,F134,D$92-SUM(E$99:E134))</f>
        <v>214503</v>
      </c>
      <c r="E135" s="484">
        <f t="shared" si="34"/>
        <v>44247</v>
      </c>
      <c r="F135" s="485">
        <f t="shared" si="35"/>
        <v>170256</v>
      </c>
      <c r="G135" s="485">
        <f t="shared" si="36"/>
        <v>192379.5</v>
      </c>
      <c r="H135" s="486">
        <f t="shared" si="37"/>
        <v>65443.883668891067</v>
      </c>
      <c r="I135" s="542">
        <f t="shared" si="38"/>
        <v>65443.883668891067</v>
      </c>
      <c r="J135" s="478">
        <f t="shared" si="25"/>
        <v>0</v>
      </c>
      <c r="K135" s="478"/>
      <c r="L135" s="487"/>
      <c r="M135" s="478">
        <f t="shared" si="40"/>
        <v>0</v>
      </c>
      <c r="N135" s="487"/>
      <c r="O135" s="478">
        <f t="shared" si="41"/>
        <v>0</v>
      </c>
      <c r="P135" s="478">
        <f t="shared" si="42"/>
        <v>0</v>
      </c>
    </row>
    <row r="136" spans="2:16">
      <c r="B136" s="160" t="str">
        <f t="shared" si="24"/>
        <v/>
      </c>
      <c r="C136" s="472">
        <f>IF(D93="","-",+C135+1)</f>
        <v>2051</v>
      </c>
      <c r="D136" s="347">
        <f>IF(F135+SUM(E$99:E135)=D$92,F135,D$92-SUM(E$99:E135))</f>
        <v>170256</v>
      </c>
      <c r="E136" s="484">
        <f t="shared" si="34"/>
        <v>44247</v>
      </c>
      <c r="F136" s="485">
        <f t="shared" si="35"/>
        <v>126009</v>
      </c>
      <c r="G136" s="485">
        <f t="shared" si="36"/>
        <v>148132.5</v>
      </c>
      <c r="H136" s="486">
        <f t="shared" si="37"/>
        <v>60568.631827102188</v>
      </c>
      <c r="I136" s="542">
        <f t="shared" si="38"/>
        <v>60568.631827102188</v>
      </c>
      <c r="J136" s="478">
        <f t="shared" si="25"/>
        <v>0</v>
      </c>
      <c r="K136" s="478"/>
      <c r="L136" s="487"/>
      <c r="M136" s="478">
        <f t="shared" si="40"/>
        <v>0</v>
      </c>
      <c r="N136" s="487"/>
      <c r="O136" s="478">
        <f t="shared" si="41"/>
        <v>0</v>
      </c>
      <c r="P136" s="478">
        <f t="shared" si="42"/>
        <v>0</v>
      </c>
    </row>
    <row r="137" spans="2:16">
      <c r="B137" s="160" t="str">
        <f t="shared" si="24"/>
        <v/>
      </c>
      <c r="C137" s="472">
        <f>IF(D93="","-",+C136+1)</f>
        <v>2052</v>
      </c>
      <c r="D137" s="347">
        <f>IF(F136+SUM(E$99:E136)=D$92,F136,D$92-SUM(E$99:E136))</f>
        <v>126009</v>
      </c>
      <c r="E137" s="484">
        <f t="shared" si="34"/>
        <v>44247</v>
      </c>
      <c r="F137" s="485">
        <f t="shared" si="35"/>
        <v>81762</v>
      </c>
      <c r="G137" s="485">
        <f t="shared" si="36"/>
        <v>103885.5</v>
      </c>
      <c r="H137" s="486">
        <f t="shared" si="37"/>
        <v>55693.379985313317</v>
      </c>
      <c r="I137" s="542">
        <f t="shared" si="38"/>
        <v>55693.379985313317</v>
      </c>
      <c r="J137" s="478">
        <f t="shared" si="25"/>
        <v>0</v>
      </c>
      <c r="K137" s="478"/>
      <c r="L137" s="487"/>
      <c r="M137" s="478">
        <f t="shared" si="40"/>
        <v>0</v>
      </c>
      <c r="N137" s="487"/>
      <c r="O137" s="478">
        <f t="shared" si="41"/>
        <v>0</v>
      </c>
      <c r="P137" s="478">
        <f t="shared" si="42"/>
        <v>0</v>
      </c>
    </row>
    <row r="138" spans="2:16">
      <c r="B138" s="160" t="str">
        <f t="shared" si="24"/>
        <v/>
      </c>
      <c r="C138" s="472">
        <f>IF(D93="","-",+C137+1)</f>
        <v>2053</v>
      </c>
      <c r="D138" s="347">
        <f>IF(F137+SUM(E$99:E137)=D$92,F137,D$92-SUM(E$99:E137))</f>
        <v>81762</v>
      </c>
      <c r="E138" s="484">
        <f t="shared" si="34"/>
        <v>44247</v>
      </c>
      <c r="F138" s="485">
        <f t="shared" si="35"/>
        <v>37515</v>
      </c>
      <c r="G138" s="485">
        <f t="shared" si="36"/>
        <v>59638.5</v>
      </c>
      <c r="H138" s="486">
        <f t="shared" si="37"/>
        <v>50818.128143524438</v>
      </c>
      <c r="I138" s="542">
        <f t="shared" si="38"/>
        <v>50818.128143524438</v>
      </c>
      <c r="J138" s="478">
        <f t="shared" si="25"/>
        <v>0</v>
      </c>
      <c r="K138" s="478"/>
      <c r="L138" s="487"/>
      <c r="M138" s="478">
        <f t="shared" si="40"/>
        <v>0</v>
      </c>
      <c r="N138" s="487"/>
      <c r="O138" s="478">
        <f t="shared" si="41"/>
        <v>0</v>
      </c>
      <c r="P138" s="478">
        <f t="shared" si="42"/>
        <v>0</v>
      </c>
    </row>
    <row r="139" spans="2:16">
      <c r="B139" s="160" t="str">
        <f t="shared" si="24"/>
        <v/>
      </c>
      <c r="C139" s="472">
        <f>IF(D93="","-",+C138+1)</f>
        <v>2054</v>
      </c>
      <c r="D139" s="347">
        <f>IF(F138+SUM(E$99:E138)=D$92,F138,D$92-SUM(E$99:E138))</f>
        <v>37515</v>
      </c>
      <c r="E139" s="484">
        <f t="shared" si="34"/>
        <v>37515</v>
      </c>
      <c r="F139" s="485">
        <f t="shared" si="35"/>
        <v>0</v>
      </c>
      <c r="G139" s="485">
        <f t="shared" si="36"/>
        <v>18757.5</v>
      </c>
      <c r="H139" s="486">
        <f t="shared" si="37"/>
        <v>39581.751111315003</v>
      </c>
      <c r="I139" s="542">
        <f t="shared" si="38"/>
        <v>39581.751111315003</v>
      </c>
      <c r="J139" s="478">
        <f t="shared" si="25"/>
        <v>0</v>
      </c>
      <c r="K139" s="478"/>
      <c r="L139" s="487"/>
      <c r="M139" s="478">
        <f t="shared" si="40"/>
        <v>0</v>
      </c>
      <c r="N139" s="487"/>
      <c r="O139" s="478">
        <f t="shared" si="41"/>
        <v>0</v>
      </c>
      <c r="P139" s="478">
        <f t="shared" si="42"/>
        <v>0</v>
      </c>
    </row>
    <row r="140" spans="2:16">
      <c r="B140" s="160" t="str">
        <f t="shared" si="24"/>
        <v/>
      </c>
      <c r="C140" s="472">
        <f>IF(D93="","-",+C139+1)</f>
        <v>2055</v>
      </c>
      <c r="D140" s="347">
        <f>IF(F139+SUM(E$99:E139)=D$92,F139,D$92-SUM(E$99:E139))</f>
        <v>0</v>
      </c>
      <c r="E140" s="484">
        <f t="shared" si="34"/>
        <v>0</v>
      </c>
      <c r="F140" s="485">
        <f t="shared" si="35"/>
        <v>0</v>
      </c>
      <c r="G140" s="485">
        <f t="shared" si="36"/>
        <v>0</v>
      </c>
      <c r="H140" s="486">
        <f t="shared" si="37"/>
        <v>0</v>
      </c>
      <c r="I140" s="542">
        <f t="shared" si="38"/>
        <v>0</v>
      </c>
      <c r="J140" s="478">
        <f t="shared" si="25"/>
        <v>0</v>
      </c>
      <c r="K140" s="478"/>
      <c r="L140" s="487"/>
      <c r="M140" s="478">
        <f t="shared" si="40"/>
        <v>0</v>
      </c>
      <c r="N140" s="487"/>
      <c r="O140" s="478">
        <f t="shared" si="41"/>
        <v>0</v>
      </c>
      <c r="P140" s="478">
        <f t="shared" si="42"/>
        <v>0</v>
      </c>
    </row>
    <row r="141" spans="2:16">
      <c r="B141" s="160" t="str">
        <f t="shared" si="24"/>
        <v/>
      </c>
      <c r="C141" s="472">
        <f>IF(D93="","-",+C140+1)</f>
        <v>2056</v>
      </c>
      <c r="D141" s="347">
        <f>IF(F140+SUM(E$99:E140)=D$92,F140,D$92-SUM(E$99:E140))</f>
        <v>0</v>
      </c>
      <c r="E141" s="484">
        <f t="shared" si="34"/>
        <v>0</v>
      </c>
      <c r="F141" s="485">
        <f t="shared" si="35"/>
        <v>0</v>
      </c>
      <c r="G141" s="485">
        <f t="shared" si="36"/>
        <v>0</v>
      </c>
      <c r="H141" s="486">
        <f t="shared" si="37"/>
        <v>0</v>
      </c>
      <c r="I141" s="542">
        <f t="shared" si="38"/>
        <v>0</v>
      </c>
      <c r="J141" s="478">
        <f t="shared" si="25"/>
        <v>0</v>
      </c>
      <c r="K141" s="478"/>
      <c r="L141" s="487"/>
      <c r="M141" s="478">
        <f t="shared" si="40"/>
        <v>0</v>
      </c>
      <c r="N141" s="487"/>
      <c r="O141" s="478">
        <f t="shared" si="41"/>
        <v>0</v>
      </c>
      <c r="P141" s="478">
        <f t="shared" si="42"/>
        <v>0</v>
      </c>
    </row>
    <row r="142" spans="2:16">
      <c r="B142" s="160" t="str">
        <f t="shared" si="24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34"/>
        <v>0</v>
      </c>
      <c r="F142" s="485">
        <f t="shared" si="35"/>
        <v>0</v>
      </c>
      <c r="G142" s="485">
        <f t="shared" si="36"/>
        <v>0</v>
      </c>
      <c r="H142" s="486">
        <f t="shared" si="37"/>
        <v>0</v>
      </c>
      <c r="I142" s="542">
        <f t="shared" si="38"/>
        <v>0</v>
      </c>
      <c r="J142" s="478">
        <f t="shared" si="25"/>
        <v>0</v>
      </c>
      <c r="K142" s="478"/>
      <c r="L142" s="487"/>
      <c r="M142" s="478">
        <f t="shared" si="40"/>
        <v>0</v>
      </c>
      <c r="N142" s="487"/>
      <c r="O142" s="478">
        <f t="shared" si="41"/>
        <v>0</v>
      </c>
      <c r="P142" s="478">
        <f t="shared" si="42"/>
        <v>0</v>
      </c>
    </row>
    <row r="143" spans="2:16">
      <c r="B143" s="160" t="str">
        <f t="shared" si="24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34"/>
        <v>0</v>
      </c>
      <c r="F143" s="485">
        <f t="shared" si="35"/>
        <v>0</v>
      </c>
      <c r="G143" s="485">
        <f t="shared" si="36"/>
        <v>0</v>
      </c>
      <c r="H143" s="486">
        <f t="shared" si="37"/>
        <v>0</v>
      </c>
      <c r="I143" s="542">
        <f t="shared" si="38"/>
        <v>0</v>
      </c>
      <c r="J143" s="478">
        <f t="shared" si="25"/>
        <v>0</v>
      </c>
      <c r="K143" s="478"/>
      <c r="L143" s="487"/>
      <c r="M143" s="478">
        <f t="shared" si="40"/>
        <v>0</v>
      </c>
      <c r="N143" s="487"/>
      <c r="O143" s="478">
        <f t="shared" si="41"/>
        <v>0</v>
      </c>
      <c r="P143" s="478">
        <f t="shared" si="42"/>
        <v>0</v>
      </c>
    </row>
    <row r="144" spans="2:16">
      <c r="B144" s="160" t="str">
        <f t="shared" si="24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34"/>
        <v>0</v>
      </c>
      <c r="F144" s="485">
        <f t="shared" si="35"/>
        <v>0</v>
      </c>
      <c r="G144" s="485">
        <f t="shared" si="36"/>
        <v>0</v>
      </c>
      <c r="H144" s="486">
        <f t="shared" si="37"/>
        <v>0</v>
      </c>
      <c r="I144" s="542">
        <f t="shared" si="38"/>
        <v>0</v>
      </c>
      <c r="J144" s="478">
        <f t="shared" si="25"/>
        <v>0</v>
      </c>
      <c r="K144" s="478"/>
      <c r="L144" s="487"/>
      <c r="M144" s="478">
        <f t="shared" si="40"/>
        <v>0</v>
      </c>
      <c r="N144" s="487"/>
      <c r="O144" s="478">
        <f t="shared" si="41"/>
        <v>0</v>
      </c>
      <c r="P144" s="478">
        <f t="shared" si="42"/>
        <v>0</v>
      </c>
    </row>
    <row r="145" spans="2:16">
      <c r="B145" s="160" t="str">
        <f t="shared" si="24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34"/>
        <v>0</v>
      </c>
      <c r="F145" s="485">
        <f t="shared" si="35"/>
        <v>0</v>
      </c>
      <c r="G145" s="485">
        <f t="shared" si="36"/>
        <v>0</v>
      </c>
      <c r="H145" s="486">
        <f t="shared" si="37"/>
        <v>0</v>
      </c>
      <c r="I145" s="542">
        <f t="shared" si="38"/>
        <v>0</v>
      </c>
      <c r="J145" s="478">
        <f t="shared" si="25"/>
        <v>0</v>
      </c>
      <c r="K145" s="478"/>
      <c r="L145" s="487"/>
      <c r="M145" s="478">
        <f t="shared" si="40"/>
        <v>0</v>
      </c>
      <c r="N145" s="487"/>
      <c r="O145" s="478">
        <f t="shared" si="41"/>
        <v>0</v>
      </c>
      <c r="P145" s="478">
        <f t="shared" si="42"/>
        <v>0</v>
      </c>
    </row>
    <row r="146" spans="2:16">
      <c r="B146" s="160" t="str">
        <f t="shared" si="24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34"/>
        <v>0</v>
      </c>
      <c r="F146" s="485">
        <f t="shared" si="35"/>
        <v>0</v>
      </c>
      <c r="G146" s="485">
        <f t="shared" si="36"/>
        <v>0</v>
      </c>
      <c r="H146" s="486">
        <f t="shared" si="37"/>
        <v>0</v>
      </c>
      <c r="I146" s="542">
        <f t="shared" si="38"/>
        <v>0</v>
      </c>
      <c r="J146" s="478">
        <f t="shared" si="25"/>
        <v>0</v>
      </c>
      <c r="K146" s="478"/>
      <c r="L146" s="487"/>
      <c r="M146" s="478">
        <f t="shared" si="40"/>
        <v>0</v>
      </c>
      <c r="N146" s="487"/>
      <c r="O146" s="478">
        <f t="shared" si="41"/>
        <v>0</v>
      </c>
      <c r="P146" s="478">
        <f t="shared" si="42"/>
        <v>0</v>
      </c>
    </row>
    <row r="147" spans="2:16">
      <c r="B147" s="160" t="str">
        <f t="shared" si="24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34"/>
        <v>0</v>
      </c>
      <c r="F147" s="485">
        <f t="shared" si="35"/>
        <v>0</v>
      </c>
      <c r="G147" s="485">
        <f t="shared" si="36"/>
        <v>0</v>
      </c>
      <c r="H147" s="486">
        <f t="shared" si="37"/>
        <v>0</v>
      </c>
      <c r="I147" s="542">
        <f t="shared" si="38"/>
        <v>0</v>
      </c>
      <c r="J147" s="478">
        <f t="shared" si="25"/>
        <v>0</v>
      </c>
      <c r="K147" s="478"/>
      <c r="L147" s="487"/>
      <c r="M147" s="478">
        <f t="shared" si="40"/>
        <v>0</v>
      </c>
      <c r="N147" s="487"/>
      <c r="O147" s="478">
        <f t="shared" si="41"/>
        <v>0</v>
      </c>
      <c r="P147" s="478">
        <f t="shared" si="42"/>
        <v>0</v>
      </c>
    </row>
    <row r="148" spans="2:16">
      <c r="B148" s="160" t="str">
        <f t="shared" si="24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34"/>
        <v>0</v>
      </c>
      <c r="F148" s="485">
        <f t="shared" si="35"/>
        <v>0</v>
      </c>
      <c r="G148" s="485">
        <f t="shared" si="36"/>
        <v>0</v>
      </c>
      <c r="H148" s="486">
        <f t="shared" si="37"/>
        <v>0</v>
      </c>
      <c r="I148" s="542">
        <f t="shared" si="38"/>
        <v>0</v>
      </c>
      <c r="J148" s="478">
        <f t="shared" si="25"/>
        <v>0</v>
      </c>
      <c r="K148" s="478"/>
      <c r="L148" s="487"/>
      <c r="M148" s="478">
        <f t="shared" si="40"/>
        <v>0</v>
      </c>
      <c r="N148" s="487"/>
      <c r="O148" s="478">
        <f t="shared" si="41"/>
        <v>0</v>
      </c>
      <c r="P148" s="478">
        <f t="shared" si="42"/>
        <v>0</v>
      </c>
    </row>
    <row r="149" spans="2:16">
      <c r="B149" s="160" t="str">
        <f t="shared" si="24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34"/>
        <v>0</v>
      </c>
      <c r="F149" s="485">
        <f t="shared" si="35"/>
        <v>0</v>
      </c>
      <c r="G149" s="485">
        <f t="shared" si="36"/>
        <v>0</v>
      </c>
      <c r="H149" s="486">
        <f t="shared" si="37"/>
        <v>0</v>
      </c>
      <c r="I149" s="542">
        <f t="shared" si="38"/>
        <v>0</v>
      </c>
      <c r="J149" s="478">
        <f t="shared" si="25"/>
        <v>0</v>
      </c>
      <c r="K149" s="478"/>
      <c r="L149" s="487"/>
      <c r="M149" s="478">
        <f t="shared" si="40"/>
        <v>0</v>
      </c>
      <c r="N149" s="487"/>
      <c r="O149" s="478">
        <f t="shared" si="41"/>
        <v>0</v>
      </c>
      <c r="P149" s="478">
        <f t="shared" si="42"/>
        <v>0</v>
      </c>
    </row>
    <row r="150" spans="2:16">
      <c r="B150" s="160" t="str">
        <f t="shared" si="24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34"/>
        <v>0</v>
      </c>
      <c r="F150" s="485">
        <f t="shared" si="35"/>
        <v>0</v>
      </c>
      <c r="G150" s="485">
        <f t="shared" si="36"/>
        <v>0</v>
      </c>
      <c r="H150" s="486">
        <f t="shared" si="37"/>
        <v>0</v>
      </c>
      <c r="I150" s="542">
        <f t="shared" si="38"/>
        <v>0</v>
      </c>
      <c r="J150" s="478">
        <f t="shared" si="25"/>
        <v>0</v>
      </c>
      <c r="K150" s="478"/>
      <c r="L150" s="487"/>
      <c r="M150" s="478">
        <f t="shared" si="40"/>
        <v>0</v>
      </c>
      <c r="N150" s="487"/>
      <c r="O150" s="478">
        <f t="shared" si="41"/>
        <v>0</v>
      </c>
      <c r="P150" s="478">
        <f t="shared" si="42"/>
        <v>0</v>
      </c>
    </row>
    <row r="151" spans="2:16">
      <c r="B151" s="160" t="str">
        <f t="shared" si="24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34"/>
        <v>0</v>
      </c>
      <c r="F151" s="485">
        <f t="shared" si="35"/>
        <v>0</v>
      </c>
      <c r="G151" s="485">
        <f t="shared" si="36"/>
        <v>0</v>
      </c>
      <c r="H151" s="486">
        <f t="shared" si="37"/>
        <v>0</v>
      </c>
      <c r="I151" s="542">
        <f t="shared" si="38"/>
        <v>0</v>
      </c>
      <c r="J151" s="478">
        <f t="shared" si="25"/>
        <v>0</v>
      </c>
      <c r="K151" s="478"/>
      <c r="L151" s="487"/>
      <c r="M151" s="478">
        <f t="shared" si="40"/>
        <v>0</v>
      </c>
      <c r="N151" s="487"/>
      <c r="O151" s="478">
        <f t="shared" si="41"/>
        <v>0</v>
      </c>
      <c r="P151" s="478">
        <f t="shared" si="42"/>
        <v>0</v>
      </c>
    </row>
    <row r="152" spans="2:16">
      <c r="B152" s="160" t="str">
        <f t="shared" si="24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34"/>
        <v>0</v>
      </c>
      <c r="F152" s="485">
        <f t="shared" si="35"/>
        <v>0</v>
      </c>
      <c r="G152" s="485">
        <f t="shared" si="36"/>
        <v>0</v>
      </c>
      <c r="H152" s="486">
        <f t="shared" si="37"/>
        <v>0</v>
      </c>
      <c r="I152" s="542">
        <f t="shared" si="38"/>
        <v>0</v>
      </c>
      <c r="J152" s="478">
        <f t="shared" si="25"/>
        <v>0</v>
      </c>
      <c r="K152" s="478"/>
      <c r="L152" s="487"/>
      <c r="M152" s="478">
        <f t="shared" si="40"/>
        <v>0</v>
      </c>
      <c r="N152" s="487"/>
      <c r="O152" s="478">
        <f t="shared" si="41"/>
        <v>0</v>
      </c>
      <c r="P152" s="478">
        <f t="shared" si="42"/>
        <v>0</v>
      </c>
    </row>
    <row r="153" spans="2:16">
      <c r="B153" s="160" t="str">
        <f t="shared" si="24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34"/>
        <v>0</v>
      </c>
      <c r="F153" s="485">
        <f t="shared" si="35"/>
        <v>0</v>
      </c>
      <c r="G153" s="485">
        <f t="shared" si="36"/>
        <v>0</v>
      </c>
      <c r="H153" s="486">
        <f t="shared" si="37"/>
        <v>0</v>
      </c>
      <c r="I153" s="542">
        <f t="shared" si="38"/>
        <v>0</v>
      </c>
      <c r="J153" s="478">
        <f t="shared" si="25"/>
        <v>0</v>
      </c>
      <c r="K153" s="478"/>
      <c r="L153" s="487"/>
      <c r="M153" s="478">
        <f t="shared" si="40"/>
        <v>0</v>
      </c>
      <c r="N153" s="487"/>
      <c r="O153" s="478">
        <f t="shared" si="41"/>
        <v>0</v>
      </c>
      <c r="P153" s="478">
        <f t="shared" si="42"/>
        <v>0</v>
      </c>
    </row>
    <row r="154" spans="2:16" ht="13.5" thickBot="1">
      <c r="B154" s="160" t="str">
        <f t="shared" si="24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34"/>
        <v>0</v>
      </c>
      <c r="F154" s="490">
        <f t="shared" si="35"/>
        <v>0</v>
      </c>
      <c r="G154" s="490">
        <f t="shared" si="36"/>
        <v>0</v>
      </c>
      <c r="H154" s="492">
        <f t="shared" ref="H154" si="43">+J$94*G154+E154</f>
        <v>0</v>
      </c>
      <c r="I154" s="545">
        <f t="shared" ref="I154" si="44">+J$95*G154+E154</f>
        <v>0</v>
      </c>
      <c r="J154" s="495">
        <f t="shared" si="25"/>
        <v>0</v>
      </c>
      <c r="K154" s="478"/>
      <c r="L154" s="494"/>
      <c r="M154" s="495">
        <f t="shared" si="40"/>
        <v>0</v>
      </c>
      <c r="N154" s="494"/>
      <c r="O154" s="495">
        <f t="shared" si="41"/>
        <v>0</v>
      </c>
      <c r="P154" s="495">
        <f t="shared" si="42"/>
        <v>0</v>
      </c>
    </row>
    <row r="155" spans="2:16">
      <c r="C155" s="347" t="s">
        <v>77</v>
      </c>
      <c r="D155" s="348"/>
      <c r="E155" s="348">
        <f>SUM(E99:E154)</f>
        <v>1725647</v>
      </c>
      <c r="F155" s="348"/>
      <c r="G155" s="348"/>
      <c r="H155" s="348">
        <f>SUM(H99:H154)</f>
        <v>5674153.3046134263</v>
      </c>
      <c r="I155" s="348">
        <f>SUM(I99:I154)</f>
        <v>5674153.3046134263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8"/>
  <dimension ref="A1:P162"/>
  <sheetViews>
    <sheetView view="pageBreakPreview" zoomScale="78" zoomScaleNormal="100" zoomScaleSheetLayoutView="78" workbookViewId="0">
      <selection activeCell="E23" sqref="E2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19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158554.07703900614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158554.07703900614</v>
      </c>
      <c r="O6" s="233"/>
      <c r="P6" s="233"/>
    </row>
    <row r="7" spans="1:16" ht="13.5" thickBot="1">
      <c r="C7" s="431" t="s">
        <v>46</v>
      </c>
      <c r="D7" s="599" t="s">
        <v>278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293</v>
      </c>
      <c r="E9" s="577" t="s">
        <v>294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1338978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31880.428571428572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2017</v>
      </c>
      <c r="D17" s="584">
        <v>0</v>
      </c>
      <c r="E17" s="608">
        <v>21831.16304347826</v>
      </c>
      <c r="F17" s="584">
        <v>1317146.8369565217</v>
      </c>
      <c r="G17" s="608">
        <v>105641.6474528401</v>
      </c>
      <c r="H17" s="587">
        <v>105641.6474528401</v>
      </c>
      <c r="I17" s="475">
        <f t="shared" ref="I17:I72" si="0">H17-G17</f>
        <v>0</v>
      </c>
      <c r="J17" s="475"/>
      <c r="K17" s="477">
        <f t="shared" ref="K17:K22" si="1">+G17</f>
        <v>105641.6474528401</v>
      </c>
      <c r="L17" s="477">
        <f t="shared" ref="L17:L72" si="2">IF(K17&lt;&gt;0,+G17-K17,0)</f>
        <v>0</v>
      </c>
      <c r="M17" s="477">
        <f t="shared" ref="M17:M22" si="3">+H17</f>
        <v>105641.6474528401</v>
      </c>
      <c r="N17" s="477">
        <f t="shared" ref="N17:N72" si="4">IF(M17&lt;&gt;0,+H17-M17,0)</f>
        <v>0</v>
      </c>
      <c r="O17" s="478">
        <f t="shared" ref="O17:O72" si="5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2018</v>
      </c>
      <c r="D18" s="584">
        <v>1317146.8369565217</v>
      </c>
      <c r="E18" s="585">
        <v>29755.066666666666</v>
      </c>
      <c r="F18" s="584">
        <v>1287391.7702898551</v>
      </c>
      <c r="G18" s="585">
        <v>185713.45898482588</v>
      </c>
      <c r="H18" s="587">
        <v>185713.45898482588</v>
      </c>
      <c r="I18" s="475">
        <f t="shared" si="0"/>
        <v>0</v>
      </c>
      <c r="J18" s="475"/>
      <c r="K18" s="478">
        <f t="shared" si="1"/>
        <v>185713.45898482588</v>
      </c>
      <c r="L18" s="478">
        <f t="shared" si="2"/>
        <v>0</v>
      </c>
      <c r="M18" s="478">
        <f t="shared" si="3"/>
        <v>185713.45898482588</v>
      </c>
      <c r="N18" s="478">
        <f t="shared" si="4"/>
        <v>0</v>
      </c>
      <c r="O18" s="478">
        <f t="shared" si="5"/>
        <v>0</v>
      </c>
      <c r="P18" s="243"/>
    </row>
    <row r="19" spans="2:16">
      <c r="B19" s="160" t="str">
        <f>IF(D19=F18,"","IU")</f>
        <v/>
      </c>
      <c r="C19" s="472">
        <f>IF(D11="","-",+C18+1)</f>
        <v>2019</v>
      </c>
      <c r="D19" s="584">
        <v>1287391.7702898551</v>
      </c>
      <c r="E19" s="585">
        <v>33474.449999999997</v>
      </c>
      <c r="F19" s="584">
        <v>1253917.3202898551</v>
      </c>
      <c r="G19" s="585">
        <v>175351.45606998727</v>
      </c>
      <c r="H19" s="587">
        <v>175351.45606998727</v>
      </c>
      <c r="I19" s="475">
        <f t="shared" si="0"/>
        <v>0</v>
      </c>
      <c r="J19" s="475"/>
      <c r="K19" s="478">
        <f t="shared" si="1"/>
        <v>175351.45606998727</v>
      </c>
      <c r="L19" s="478">
        <f t="shared" ref="L19" si="6">IF(K19&lt;&gt;0,+G19-K19,0)</f>
        <v>0</v>
      </c>
      <c r="M19" s="478">
        <f t="shared" si="3"/>
        <v>175351.45606998727</v>
      </c>
      <c r="N19" s="478">
        <f t="shared" si="4"/>
        <v>0</v>
      </c>
      <c r="O19" s="478">
        <f t="shared" si="5"/>
        <v>0</v>
      </c>
      <c r="P19" s="243"/>
    </row>
    <row r="20" spans="2:16">
      <c r="B20" s="160" t="str">
        <f t="shared" ref="B20:B72" si="7">IF(D20=F19,"","IU")</f>
        <v>IU</v>
      </c>
      <c r="C20" s="472">
        <f>IF(D11="","-",+C19+1)</f>
        <v>2020</v>
      </c>
      <c r="D20" s="584">
        <v>1257636.7036231884</v>
      </c>
      <c r="E20" s="585">
        <v>31880.428571428572</v>
      </c>
      <c r="F20" s="584">
        <v>1225756.2750517598</v>
      </c>
      <c r="G20" s="585">
        <v>165989.58089219453</v>
      </c>
      <c r="H20" s="587">
        <v>165989.58089219453</v>
      </c>
      <c r="I20" s="475">
        <f t="shared" si="0"/>
        <v>0</v>
      </c>
      <c r="J20" s="475"/>
      <c r="K20" s="478">
        <f t="shared" si="1"/>
        <v>165989.58089219453</v>
      </c>
      <c r="L20" s="478">
        <f t="shared" ref="L20" si="8">IF(K20&lt;&gt;0,+G20-K20,0)</f>
        <v>0</v>
      </c>
      <c r="M20" s="478">
        <f t="shared" si="3"/>
        <v>165989.58089219453</v>
      </c>
      <c r="N20" s="478">
        <f t="shared" si="4"/>
        <v>0</v>
      </c>
      <c r="O20" s="478">
        <f t="shared" si="5"/>
        <v>0</v>
      </c>
      <c r="P20" s="243"/>
    </row>
    <row r="21" spans="2:16">
      <c r="B21" s="160" t="str">
        <f t="shared" si="7"/>
        <v>IU</v>
      </c>
      <c r="C21" s="472">
        <f>IF(D11="","-",+C20+1)</f>
        <v>2021</v>
      </c>
      <c r="D21" s="584">
        <v>1222036.8917184265</v>
      </c>
      <c r="E21" s="585">
        <v>31139.023255813954</v>
      </c>
      <c r="F21" s="584">
        <v>1190897.8684626126</v>
      </c>
      <c r="G21" s="585">
        <v>161222.32913848371</v>
      </c>
      <c r="H21" s="587">
        <v>161222.32913848371</v>
      </c>
      <c r="I21" s="475">
        <f t="shared" si="0"/>
        <v>0</v>
      </c>
      <c r="J21" s="475"/>
      <c r="K21" s="478">
        <f t="shared" si="1"/>
        <v>161222.32913848371</v>
      </c>
      <c r="L21" s="478">
        <f t="shared" ref="L21" si="9">IF(K21&lt;&gt;0,+G21-K21,0)</f>
        <v>0</v>
      </c>
      <c r="M21" s="478">
        <f t="shared" si="3"/>
        <v>161222.32913848371</v>
      </c>
      <c r="N21" s="478">
        <f t="shared" si="4"/>
        <v>0</v>
      </c>
      <c r="O21" s="478">
        <f t="shared" si="5"/>
        <v>0</v>
      </c>
      <c r="P21" s="243"/>
    </row>
    <row r="22" spans="2:16">
      <c r="B22" s="160" t="str">
        <f t="shared" si="7"/>
        <v/>
      </c>
      <c r="C22" s="472">
        <f>IF(D11="","-",+C21+1)</f>
        <v>2022</v>
      </c>
      <c r="D22" s="584">
        <v>1190897.8684626126</v>
      </c>
      <c r="E22" s="585">
        <v>31880.428571428572</v>
      </c>
      <c r="F22" s="584">
        <v>1159017.439891184</v>
      </c>
      <c r="G22" s="585">
        <v>158554.07703900614</v>
      </c>
      <c r="H22" s="587">
        <v>158554.07703900614</v>
      </c>
      <c r="I22" s="475">
        <f t="shared" si="0"/>
        <v>0</v>
      </c>
      <c r="J22" s="475"/>
      <c r="K22" s="478">
        <f t="shared" si="1"/>
        <v>158554.07703900614</v>
      </c>
      <c r="L22" s="478">
        <f t="shared" ref="L22" si="10">IF(K22&lt;&gt;0,+G22-K22,0)</f>
        <v>0</v>
      </c>
      <c r="M22" s="478">
        <f t="shared" si="3"/>
        <v>158554.07703900614</v>
      </c>
      <c r="N22" s="478">
        <f t="shared" si="4"/>
        <v>0</v>
      </c>
      <c r="O22" s="478">
        <f t="shared" si="5"/>
        <v>0</v>
      </c>
      <c r="P22" s="243"/>
    </row>
    <row r="23" spans="2:16">
      <c r="B23" s="160" t="str">
        <f t="shared" si="7"/>
        <v/>
      </c>
      <c r="C23" s="472">
        <f>IF(D11="","-",+C22+1)</f>
        <v>2023</v>
      </c>
      <c r="D23" s="483">
        <f>IF(F22+SUM(E$17:E22)=D$10,F22,D$10-SUM(E$17:E22))</f>
        <v>1159017.439891184</v>
      </c>
      <c r="E23" s="484">
        <f t="shared" ref="E23:E72" si="11">IF(+I$14&lt;F22,I$14,D23)</f>
        <v>31880.428571428572</v>
      </c>
      <c r="F23" s="485">
        <f t="shared" ref="F23:F72" si="12">+D23-E23</f>
        <v>1127137.0113197553</v>
      </c>
      <c r="G23" s="486">
        <f t="shared" ref="G23:G72" si="13">(D23+F23)/2*I$12+E23</f>
        <v>155117.00831785132</v>
      </c>
      <c r="H23" s="455">
        <f t="shared" ref="H23:H72" si="14">+(D23+F23)/2*I$13+E23</f>
        <v>155117.00831785132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3"/>
    </row>
    <row r="24" spans="2:16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1127137.0113197553</v>
      </c>
      <c r="E24" s="484">
        <f t="shared" si="11"/>
        <v>31880.428571428572</v>
      </c>
      <c r="F24" s="485">
        <f t="shared" si="12"/>
        <v>1095256.5827483267</v>
      </c>
      <c r="G24" s="486">
        <f t="shared" si="13"/>
        <v>151679.93959669649</v>
      </c>
      <c r="H24" s="455">
        <f t="shared" si="14"/>
        <v>151679.93959669649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3"/>
    </row>
    <row r="25" spans="2:16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1095256.5827483267</v>
      </c>
      <c r="E25" s="484">
        <f t="shared" si="11"/>
        <v>31880.428571428572</v>
      </c>
      <c r="F25" s="485">
        <f t="shared" si="12"/>
        <v>1063376.1541768981</v>
      </c>
      <c r="G25" s="486">
        <f t="shared" si="13"/>
        <v>148242.87087554164</v>
      </c>
      <c r="H25" s="455">
        <f t="shared" si="14"/>
        <v>148242.87087554164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3"/>
    </row>
    <row r="26" spans="2:16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1063376.1541768981</v>
      </c>
      <c r="E26" s="484">
        <f t="shared" si="11"/>
        <v>31880.428571428572</v>
      </c>
      <c r="F26" s="485">
        <f t="shared" si="12"/>
        <v>1031495.7256054695</v>
      </c>
      <c r="G26" s="486">
        <f t="shared" si="13"/>
        <v>144805.80215438682</v>
      </c>
      <c r="H26" s="455">
        <f t="shared" si="14"/>
        <v>144805.80215438682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3"/>
    </row>
    <row r="27" spans="2:16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1031495.7256054695</v>
      </c>
      <c r="E27" s="484">
        <f t="shared" si="11"/>
        <v>31880.428571428572</v>
      </c>
      <c r="F27" s="485">
        <f t="shared" si="12"/>
        <v>999615.29703404102</v>
      </c>
      <c r="G27" s="486">
        <f t="shared" si="13"/>
        <v>141368.73343323203</v>
      </c>
      <c r="H27" s="455">
        <f t="shared" si="14"/>
        <v>141368.73343323203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999615.29703404102</v>
      </c>
      <c r="E28" s="484">
        <f t="shared" si="11"/>
        <v>31880.428571428572</v>
      </c>
      <c r="F28" s="485">
        <f t="shared" si="12"/>
        <v>967734.8684626125</v>
      </c>
      <c r="G28" s="486">
        <f t="shared" si="13"/>
        <v>137931.66471207721</v>
      </c>
      <c r="H28" s="455">
        <f t="shared" si="14"/>
        <v>137931.66471207721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967734.8684626125</v>
      </c>
      <c r="E29" s="484">
        <f t="shared" si="11"/>
        <v>31880.428571428572</v>
      </c>
      <c r="F29" s="485">
        <f t="shared" si="12"/>
        <v>935854.43989118398</v>
      </c>
      <c r="G29" s="486">
        <f t="shared" si="13"/>
        <v>134494.59599092239</v>
      </c>
      <c r="H29" s="455">
        <f t="shared" si="14"/>
        <v>134494.59599092239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935854.43989118398</v>
      </c>
      <c r="E30" s="484">
        <f t="shared" si="11"/>
        <v>31880.428571428572</v>
      </c>
      <c r="F30" s="485">
        <f t="shared" si="12"/>
        <v>903974.01131975546</v>
      </c>
      <c r="G30" s="486">
        <f t="shared" si="13"/>
        <v>131057.52726976757</v>
      </c>
      <c r="H30" s="455">
        <f t="shared" si="14"/>
        <v>131057.52726976757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903974.01131975546</v>
      </c>
      <c r="E31" s="484">
        <f t="shared" si="11"/>
        <v>31880.428571428572</v>
      </c>
      <c r="F31" s="485">
        <f t="shared" si="12"/>
        <v>872093.58274832694</v>
      </c>
      <c r="G31" s="486">
        <f t="shared" si="13"/>
        <v>127620.45854861278</v>
      </c>
      <c r="H31" s="455">
        <f t="shared" si="14"/>
        <v>127620.45854861278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872093.58274832694</v>
      </c>
      <c r="E32" s="484">
        <f t="shared" si="11"/>
        <v>31880.428571428572</v>
      </c>
      <c r="F32" s="485">
        <f t="shared" si="12"/>
        <v>840213.15417689842</v>
      </c>
      <c r="G32" s="486">
        <f t="shared" si="13"/>
        <v>124183.38982745796</v>
      </c>
      <c r="H32" s="455">
        <f t="shared" si="14"/>
        <v>124183.38982745796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840213.15417689842</v>
      </c>
      <c r="E33" s="484">
        <f t="shared" si="11"/>
        <v>31880.428571428572</v>
      </c>
      <c r="F33" s="485">
        <f t="shared" si="12"/>
        <v>808332.7256054699</v>
      </c>
      <c r="G33" s="486">
        <f t="shared" si="13"/>
        <v>120746.32110630313</v>
      </c>
      <c r="H33" s="455">
        <f t="shared" si="14"/>
        <v>120746.32110630313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808332.7256054699</v>
      </c>
      <c r="E34" s="484">
        <f t="shared" si="11"/>
        <v>31880.428571428572</v>
      </c>
      <c r="F34" s="485">
        <f t="shared" si="12"/>
        <v>776452.29703404137</v>
      </c>
      <c r="G34" s="486">
        <f t="shared" si="13"/>
        <v>117309.25238514831</v>
      </c>
      <c r="H34" s="455">
        <f t="shared" si="14"/>
        <v>117309.25238514831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776452.29703404137</v>
      </c>
      <c r="E35" s="484">
        <f t="shared" si="11"/>
        <v>31880.428571428572</v>
      </c>
      <c r="F35" s="485">
        <f t="shared" si="12"/>
        <v>744571.86846261285</v>
      </c>
      <c r="G35" s="486">
        <f t="shared" si="13"/>
        <v>113872.18366399352</v>
      </c>
      <c r="H35" s="455">
        <f t="shared" si="14"/>
        <v>113872.18366399352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744571.86846261285</v>
      </c>
      <c r="E36" s="484">
        <f t="shared" si="11"/>
        <v>31880.428571428572</v>
      </c>
      <c r="F36" s="485">
        <f t="shared" si="12"/>
        <v>712691.43989118433</v>
      </c>
      <c r="G36" s="486">
        <f t="shared" si="13"/>
        <v>110435.11494283867</v>
      </c>
      <c r="H36" s="455">
        <f t="shared" si="14"/>
        <v>110435.11494283867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712691.43989118433</v>
      </c>
      <c r="E37" s="484">
        <f t="shared" si="11"/>
        <v>31880.428571428572</v>
      </c>
      <c r="F37" s="485">
        <f t="shared" si="12"/>
        <v>680811.01131975581</v>
      </c>
      <c r="G37" s="486">
        <f t="shared" si="13"/>
        <v>106998.04622168388</v>
      </c>
      <c r="H37" s="455">
        <f t="shared" si="14"/>
        <v>106998.04622168388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680811.01131975581</v>
      </c>
      <c r="E38" s="484">
        <f t="shared" si="11"/>
        <v>31880.428571428572</v>
      </c>
      <c r="F38" s="485">
        <f t="shared" si="12"/>
        <v>648930.58274832729</v>
      </c>
      <c r="G38" s="486">
        <f t="shared" si="13"/>
        <v>103560.97750052906</v>
      </c>
      <c r="H38" s="455">
        <f t="shared" si="14"/>
        <v>103560.97750052906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648930.58274832729</v>
      </c>
      <c r="E39" s="484">
        <f t="shared" si="11"/>
        <v>31880.428571428572</v>
      </c>
      <c r="F39" s="485">
        <f t="shared" si="12"/>
        <v>617050.15417689877</v>
      </c>
      <c r="G39" s="486">
        <f t="shared" si="13"/>
        <v>100123.90877937427</v>
      </c>
      <c r="H39" s="455">
        <f t="shared" si="14"/>
        <v>100123.90877937427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617050.15417689877</v>
      </c>
      <c r="E40" s="484">
        <f t="shared" si="11"/>
        <v>31880.428571428572</v>
      </c>
      <c r="F40" s="485">
        <f t="shared" si="12"/>
        <v>585169.72560547024</v>
      </c>
      <c r="G40" s="486">
        <f t="shared" si="13"/>
        <v>96686.840058219415</v>
      </c>
      <c r="H40" s="455">
        <f t="shared" si="14"/>
        <v>96686.840058219415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585169.72560547024</v>
      </c>
      <c r="E41" s="484">
        <f t="shared" si="11"/>
        <v>31880.428571428572</v>
      </c>
      <c r="F41" s="485">
        <f t="shared" si="12"/>
        <v>553289.29703404172</v>
      </c>
      <c r="G41" s="486">
        <f t="shared" si="13"/>
        <v>93249.771337064623</v>
      </c>
      <c r="H41" s="455">
        <f t="shared" si="14"/>
        <v>93249.771337064623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553289.29703404172</v>
      </c>
      <c r="E42" s="484">
        <f t="shared" si="11"/>
        <v>31880.428571428572</v>
      </c>
      <c r="F42" s="485">
        <f t="shared" si="12"/>
        <v>521408.86846261314</v>
      </c>
      <c r="G42" s="486">
        <f t="shared" si="13"/>
        <v>89812.702615909802</v>
      </c>
      <c r="H42" s="455">
        <f t="shared" si="14"/>
        <v>89812.702615909802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521408.86846261314</v>
      </c>
      <c r="E43" s="484">
        <f t="shared" si="11"/>
        <v>31880.428571428572</v>
      </c>
      <c r="F43" s="485">
        <f t="shared" si="12"/>
        <v>489528.43989118456</v>
      </c>
      <c r="G43" s="486">
        <f t="shared" si="13"/>
        <v>86375.633894754981</v>
      </c>
      <c r="H43" s="455">
        <f t="shared" si="14"/>
        <v>86375.633894754981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489528.43989118456</v>
      </c>
      <c r="E44" s="484">
        <f t="shared" si="11"/>
        <v>31880.428571428572</v>
      </c>
      <c r="F44" s="485">
        <f t="shared" si="12"/>
        <v>457648.01131975598</v>
      </c>
      <c r="G44" s="486">
        <f t="shared" si="13"/>
        <v>82938.56517360016</v>
      </c>
      <c r="H44" s="455">
        <f t="shared" si="14"/>
        <v>82938.56517360016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457648.01131975598</v>
      </c>
      <c r="E45" s="484">
        <f t="shared" si="11"/>
        <v>31880.428571428572</v>
      </c>
      <c r="F45" s="485">
        <f t="shared" si="12"/>
        <v>425767.5827483274</v>
      </c>
      <c r="G45" s="486">
        <f t="shared" si="13"/>
        <v>79501.496452445339</v>
      </c>
      <c r="H45" s="455">
        <f t="shared" si="14"/>
        <v>79501.496452445339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425767.5827483274</v>
      </c>
      <c r="E46" s="484">
        <f t="shared" si="11"/>
        <v>31880.428571428572</v>
      </c>
      <c r="F46" s="485">
        <f t="shared" si="12"/>
        <v>393887.15417689882</v>
      </c>
      <c r="G46" s="486">
        <f t="shared" si="13"/>
        <v>76064.427731290518</v>
      </c>
      <c r="H46" s="455">
        <f t="shared" si="14"/>
        <v>76064.427731290518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393887.15417689882</v>
      </c>
      <c r="E47" s="484">
        <f t="shared" si="11"/>
        <v>31880.428571428572</v>
      </c>
      <c r="F47" s="485">
        <f t="shared" si="12"/>
        <v>362006.72560547024</v>
      </c>
      <c r="G47" s="486">
        <f t="shared" si="13"/>
        <v>72627.359010135697</v>
      </c>
      <c r="H47" s="455">
        <f t="shared" si="14"/>
        <v>72627.359010135697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362006.72560547024</v>
      </c>
      <c r="E48" s="484">
        <f t="shared" si="11"/>
        <v>31880.428571428572</v>
      </c>
      <c r="F48" s="485">
        <f t="shared" si="12"/>
        <v>330126.29703404167</v>
      </c>
      <c r="G48" s="486">
        <f t="shared" si="13"/>
        <v>69190.290288980876</v>
      </c>
      <c r="H48" s="455">
        <f t="shared" si="14"/>
        <v>69190.290288980876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330126.29703404167</v>
      </c>
      <c r="E49" s="484">
        <f t="shared" si="11"/>
        <v>31880.428571428572</v>
      </c>
      <c r="F49" s="485">
        <f t="shared" si="12"/>
        <v>298245.86846261309</v>
      </c>
      <c r="G49" s="486">
        <f t="shared" si="13"/>
        <v>65753.221567826055</v>
      </c>
      <c r="H49" s="455">
        <f t="shared" si="14"/>
        <v>65753.221567826055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3"/>
    </row>
    <row r="50" spans="2:16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298245.86846261309</v>
      </c>
      <c r="E50" s="484">
        <f t="shared" si="11"/>
        <v>31880.428571428572</v>
      </c>
      <c r="F50" s="485">
        <f t="shared" si="12"/>
        <v>266365.43989118451</v>
      </c>
      <c r="G50" s="486">
        <f t="shared" si="13"/>
        <v>62316.152846671233</v>
      </c>
      <c r="H50" s="455">
        <f t="shared" si="14"/>
        <v>62316.152846671233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3"/>
    </row>
    <row r="51" spans="2:16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266365.43989118451</v>
      </c>
      <c r="E51" s="484">
        <f t="shared" si="11"/>
        <v>31880.428571428572</v>
      </c>
      <c r="F51" s="485">
        <f t="shared" si="12"/>
        <v>234485.01131975593</v>
      </c>
      <c r="G51" s="486">
        <f t="shared" si="13"/>
        <v>58879.084125516412</v>
      </c>
      <c r="H51" s="455">
        <f t="shared" si="14"/>
        <v>58879.084125516412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3"/>
    </row>
    <row r="52" spans="2:16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234485.01131975593</v>
      </c>
      <c r="E52" s="484">
        <f t="shared" si="11"/>
        <v>31880.428571428572</v>
      </c>
      <c r="F52" s="485">
        <f t="shared" si="12"/>
        <v>202604.58274832735</v>
      </c>
      <c r="G52" s="486">
        <f t="shared" si="13"/>
        <v>55442.015404361591</v>
      </c>
      <c r="H52" s="455">
        <f t="shared" si="14"/>
        <v>55442.015404361591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3"/>
    </row>
    <row r="53" spans="2:16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202604.58274832735</v>
      </c>
      <c r="E53" s="484">
        <f t="shared" si="11"/>
        <v>31880.428571428572</v>
      </c>
      <c r="F53" s="485">
        <f t="shared" si="12"/>
        <v>170724.15417689877</v>
      </c>
      <c r="G53" s="486">
        <f t="shared" si="13"/>
        <v>52004.94668320677</v>
      </c>
      <c r="H53" s="455">
        <f t="shared" si="14"/>
        <v>52004.94668320677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3"/>
    </row>
    <row r="54" spans="2:16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170724.15417689877</v>
      </c>
      <c r="E54" s="484">
        <f t="shared" si="11"/>
        <v>31880.428571428572</v>
      </c>
      <c r="F54" s="485">
        <f t="shared" si="12"/>
        <v>138843.72560547019</v>
      </c>
      <c r="G54" s="486">
        <f t="shared" si="13"/>
        <v>48567.877962051949</v>
      </c>
      <c r="H54" s="455">
        <f t="shared" si="14"/>
        <v>48567.877962051949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3"/>
    </row>
    <row r="55" spans="2:16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138843.72560547019</v>
      </c>
      <c r="E55" s="484">
        <f t="shared" si="11"/>
        <v>31880.428571428572</v>
      </c>
      <c r="F55" s="485">
        <f t="shared" si="12"/>
        <v>106963.29703404161</v>
      </c>
      <c r="G55" s="486">
        <f t="shared" si="13"/>
        <v>45130.809240897128</v>
      </c>
      <c r="H55" s="455">
        <f t="shared" si="14"/>
        <v>45130.809240897128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3"/>
    </row>
    <row r="56" spans="2:16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106963.29703404161</v>
      </c>
      <c r="E56" s="484">
        <f t="shared" si="11"/>
        <v>31880.428571428572</v>
      </c>
      <c r="F56" s="485">
        <f t="shared" si="12"/>
        <v>75082.868462613027</v>
      </c>
      <c r="G56" s="486">
        <f t="shared" si="13"/>
        <v>41693.740519742314</v>
      </c>
      <c r="H56" s="455">
        <f t="shared" si="14"/>
        <v>41693.740519742314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3"/>
    </row>
    <row r="57" spans="2:16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75082.868462613027</v>
      </c>
      <c r="E57" s="484">
        <f t="shared" si="11"/>
        <v>31880.428571428572</v>
      </c>
      <c r="F57" s="485">
        <f t="shared" si="12"/>
        <v>43202.439891184455</v>
      </c>
      <c r="G57" s="486">
        <f t="shared" si="13"/>
        <v>38256.671798587493</v>
      </c>
      <c r="H57" s="455">
        <f t="shared" si="14"/>
        <v>38256.671798587493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3"/>
    </row>
    <row r="58" spans="2:16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43202.439891184455</v>
      </c>
      <c r="E58" s="484">
        <f t="shared" si="11"/>
        <v>31880.428571428572</v>
      </c>
      <c r="F58" s="485">
        <f t="shared" si="12"/>
        <v>11322.011319755882</v>
      </c>
      <c r="G58" s="486">
        <f t="shared" si="13"/>
        <v>34819.603077432672</v>
      </c>
      <c r="H58" s="455">
        <f t="shared" si="14"/>
        <v>34819.603077432672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3"/>
    </row>
    <row r="59" spans="2:16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11322.011319755882</v>
      </c>
      <c r="E59" s="484">
        <f t="shared" si="11"/>
        <v>11322.011319755882</v>
      </c>
      <c r="F59" s="485">
        <f t="shared" si="12"/>
        <v>0</v>
      </c>
      <c r="G59" s="486">
        <f t="shared" si="13"/>
        <v>11932.331392469227</v>
      </c>
      <c r="H59" s="455">
        <f t="shared" si="14"/>
        <v>11932.331392469227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3"/>
    </row>
    <row r="60" spans="2:16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0</v>
      </c>
      <c r="E60" s="484">
        <f t="shared" si="11"/>
        <v>0</v>
      </c>
      <c r="F60" s="485">
        <f t="shared" si="12"/>
        <v>0</v>
      </c>
      <c r="G60" s="486">
        <f t="shared" si="13"/>
        <v>0</v>
      </c>
      <c r="H60" s="455">
        <f t="shared" si="14"/>
        <v>0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3"/>
    </row>
    <row r="61" spans="2:16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11"/>
        <v>0</v>
      </c>
      <c r="F61" s="485">
        <f t="shared" si="12"/>
        <v>0</v>
      </c>
      <c r="G61" s="486">
        <f t="shared" si="13"/>
        <v>0</v>
      </c>
      <c r="H61" s="455">
        <f t="shared" si="14"/>
        <v>0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3"/>
    </row>
    <row r="62" spans="2:16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3"/>
    </row>
    <row r="63" spans="2:16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3"/>
    </row>
    <row r="64" spans="2:16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3"/>
    </row>
    <row r="65" spans="2:16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3"/>
    </row>
    <row r="66" spans="2:16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3"/>
    </row>
    <row r="67" spans="2:16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3"/>
    </row>
    <row r="68" spans="2:16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3"/>
    </row>
    <row r="69" spans="2:16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3"/>
    </row>
    <row r="70" spans="2:16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3"/>
    </row>
    <row r="71" spans="2:16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3"/>
    </row>
    <row r="72" spans="2:16" ht="13.5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3"/>
    </row>
    <row r="73" spans="2:16">
      <c r="C73" s="347" t="s">
        <v>77</v>
      </c>
      <c r="D73" s="348"/>
      <c r="E73" s="348">
        <f>SUM(E17:E72)</f>
        <v>1338978.0000000002</v>
      </c>
      <c r="F73" s="348"/>
      <c r="G73" s="348">
        <f>SUM(G17:G72)</f>
        <v>4383263.8860849198</v>
      </c>
      <c r="H73" s="348">
        <f>SUM(H17:H72)</f>
        <v>4383263.8860849198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19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158554.07703900614</v>
      </c>
      <c r="N87" s="508">
        <f>IF(J92&lt;D11,0,VLOOKUP(J92,C17:O72,11))</f>
        <v>158554.07703900614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163509.65476559798</v>
      </c>
      <c r="N88" s="512">
        <f>IF(J92&lt;D11,0,VLOOKUP(J92,C99:P154,7))</f>
        <v>163509.65476559798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Valliant-NW Texarkana 345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4955.5777265918441</v>
      </c>
      <c r="N89" s="517">
        <f>+N88-N87</f>
        <v>4955.5777265918441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TP2009089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f>IF(D11=I10,0,D10)</f>
        <v>1338978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34333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21831</v>
      </c>
      <c r="F99" s="584">
        <v>1317147</v>
      </c>
      <c r="G99" s="608">
        <v>658573.5</v>
      </c>
      <c r="H99" s="587">
        <v>105372.70906867021</v>
      </c>
      <c r="I99" s="607">
        <v>105372.70906867021</v>
      </c>
      <c r="J99" s="478">
        <f t="shared" ref="J99:J130" si="15">+I99-H99</f>
        <v>0</v>
      </c>
      <c r="K99" s="478"/>
      <c r="L99" s="477">
        <f>+H99</f>
        <v>105372.70906867021</v>
      </c>
      <c r="M99" s="477">
        <f t="shared" ref="M99:M130" si="16">IF(L99&lt;&gt;0,+H99-L99,0)</f>
        <v>0</v>
      </c>
      <c r="N99" s="477">
        <f>+I99</f>
        <v>105372.70906867021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84">
        <v>1317147</v>
      </c>
      <c r="E100" s="585">
        <v>31139</v>
      </c>
      <c r="F100" s="586">
        <v>1286008</v>
      </c>
      <c r="G100" s="586">
        <v>1301577.5</v>
      </c>
      <c r="H100" s="606">
        <v>164857.30223166285</v>
      </c>
      <c r="I100" s="607">
        <v>164857.30223166285</v>
      </c>
      <c r="J100" s="478">
        <f t="shared" si="15"/>
        <v>0</v>
      </c>
      <c r="K100" s="478"/>
      <c r="L100" s="476">
        <f>H100</f>
        <v>164857.30223166285</v>
      </c>
      <c r="M100" s="349">
        <f>IF(L100&lt;&gt;0,+H100-L100,0)</f>
        <v>0</v>
      </c>
      <c r="N100" s="476">
        <f>I100</f>
        <v>164857.30223166285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9">IF(D101=F100,"","IU")</f>
        <v/>
      </c>
      <c r="C101" s="472">
        <f>IF(D93="","-",+C100+1)</f>
        <v>2019</v>
      </c>
      <c r="D101" s="584">
        <v>1286008</v>
      </c>
      <c r="E101" s="585">
        <v>32658</v>
      </c>
      <c r="F101" s="586">
        <v>1253350</v>
      </c>
      <c r="G101" s="586">
        <v>1269679</v>
      </c>
      <c r="H101" s="606">
        <v>163579.71352002863</v>
      </c>
      <c r="I101" s="607">
        <v>163579.71352002863</v>
      </c>
      <c r="J101" s="478">
        <f t="shared" si="15"/>
        <v>0</v>
      </c>
      <c r="K101" s="478"/>
      <c r="L101" s="476">
        <f>H101</f>
        <v>163579.71352002863</v>
      </c>
      <c r="M101" s="349">
        <f>IF(L101&lt;&gt;0,+H101-L101,0)</f>
        <v>0</v>
      </c>
      <c r="N101" s="476">
        <f>I101</f>
        <v>163579.71352002863</v>
      </c>
      <c r="O101" s="478">
        <f t="shared" si="17"/>
        <v>0</v>
      </c>
      <c r="P101" s="478">
        <f t="shared" si="18"/>
        <v>0</v>
      </c>
    </row>
    <row r="102" spans="1:16">
      <c r="B102" s="160" t="str">
        <f t="shared" si="19"/>
        <v/>
      </c>
      <c r="C102" s="472">
        <f>IF(D93="","-",+C101+1)</f>
        <v>2020</v>
      </c>
      <c r="D102" s="584">
        <v>1253350</v>
      </c>
      <c r="E102" s="585">
        <v>31139</v>
      </c>
      <c r="F102" s="586">
        <v>1222211</v>
      </c>
      <c r="G102" s="586">
        <v>1237780.5</v>
      </c>
      <c r="H102" s="606">
        <v>173851.68865310939</v>
      </c>
      <c r="I102" s="607">
        <v>173851.68865310939</v>
      </c>
      <c r="J102" s="478">
        <f t="shared" si="15"/>
        <v>0</v>
      </c>
      <c r="K102" s="478"/>
      <c r="L102" s="476">
        <f>H102</f>
        <v>173851.68865310939</v>
      </c>
      <c r="M102" s="349">
        <f>IF(L102&lt;&gt;0,+H102-L102,0)</f>
        <v>0</v>
      </c>
      <c r="N102" s="476">
        <f>I102</f>
        <v>173851.68865310939</v>
      </c>
      <c r="O102" s="478">
        <f t="shared" si="17"/>
        <v>0</v>
      </c>
      <c r="P102" s="478">
        <f t="shared" si="18"/>
        <v>0</v>
      </c>
    </row>
    <row r="103" spans="1:16">
      <c r="B103" s="160" t="str">
        <f t="shared" si="19"/>
        <v/>
      </c>
      <c r="C103" s="472">
        <f>IF(D93="","-",+C102+1)</f>
        <v>2021</v>
      </c>
      <c r="D103" s="584">
        <v>1222211</v>
      </c>
      <c r="E103" s="585">
        <v>32658</v>
      </c>
      <c r="F103" s="586">
        <v>1189553</v>
      </c>
      <c r="G103" s="586">
        <v>1205882</v>
      </c>
      <c r="H103" s="606">
        <v>169878.68084636764</v>
      </c>
      <c r="I103" s="607">
        <v>169878.68084636764</v>
      </c>
      <c r="J103" s="478">
        <f t="shared" si="15"/>
        <v>0</v>
      </c>
      <c r="K103" s="478"/>
      <c r="L103" s="476">
        <f>H103</f>
        <v>169878.68084636764</v>
      </c>
      <c r="M103" s="349">
        <f>IF(L103&lt;&gt;0,+H103-L103,0)</f>
        <v>0</v>
      </c>
      <c r="N103" s="476">
        <f>I103</f>
        <v>169878.68084636764</v>
      </c>
      <c r="O103" s="478">
        <f t="shared" si="17"/>
        <v>0</v>
      </c>
      <c r="P103" s="478">
        <f t="shared" si="18"/>
        <v>0</v>
      </c>
    </row>
    <row r="104" spans="1:16">
      <c r="B104" s="160" t="str">
        <f t="shared" si="19"/>
        <v/>
      </c>
      <c r="C104" s="472">
        <f>IF(D93="","-",+C103+1)</f>
        <v>2022</v>
      </c>
      <c r="D104" s="347">
        <f>IF(F103+SUM(E$99:E103)=D$92,F103,D$92-SUM(E$99:E103))</f>
        <v>1189553</v>
      </c>
      <c r="E104" s="484">
        <f t="shared" ref="E104:E154" si="20">IF(+J$96&lt;F103,J$96,D104)</f>
        <v>34333</v>
      </c>
      <c r="F104" s="485">
        <f t="shared" ref="F104:F154" si="21">+D104-E104</f>
        <v>1155220</v>
      </c>
      <c r="G104" s="485">
        <f t="shared" ref="G104:G154" si="22">+(F104+D104)/2</f>
        <v>1172386.5</v>
      </c>
      <c r="H104" s="486">
        <f t="shared" ref="H104:H153" si="23">(D104+F104)/2*J$94+E104</f>
        <v>163509.65476559798</v>
      </c>
      <c r="I104" s="542">
        <f t="shared" ref="I104:I153" si="24">+J$95*G104+E104</f>
        <v>163509.65476559798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>
      <c r="B105" s="160" t="str">
        <f t="shared" si="19"/>
        <v/>
      </c>
      <c r="C105" s="472">
        <f>IF(D93="","-",+C104+1)</f>
        <v>2023</v>
      </c>
      <c r="D105" s="347">
        <f>IF(F104+SUM(E$99:E104)=D$92,F104,D$92-SUM(E$99:E104))</f>
        <v>1155220</v>
      </c>
      <c r="E105" s="484">
        <f t="shared" si="20"/>
        <v>34333</v>
      </c>
      <c r="F105" s="485">
        <f t="shared" si="21"/>
        <v>1120887</v>
      </c>
      <c r="G105" s="485">
        <f t="shared" si="22"/>
        <v>1138053.5</v>
      </c>
      <c r="H105" s="486">
        <f t="shared" si="23"/>
        <v>159726.7537444183</v>
      </c>
      <c r="I105" s="542">
        <f t="shared" si="24"/>
        <v>159726.7537444183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>
      <c r="B106" s="160" t="str">
        <f t="shared" si="19"/>
        <v/>
      </c>
      <c r="C106" s="472">
        <f>IF(D93="","-",+C105+1)</f>
        <v>2024</v>
      </c>
      <c r="D106" s="347">
        <f>IF(F105+SUM(E$99:E105)=D$92,F105,D$92-SUM(E$99:E105))</f>
        <v>1120887</v>
      </c>
      <c r="E106" s="484">
        <f t="shared" si="20"/>
        <v>34333</v>
      </c>
      <c r="F106" s="485">
        <f t="shared" si="21"/>
        <v>1086554</v>
      </c>
      <c r="G106" s="485">
        <f t="shared" si="22"/>
        <v>1103720.5</v>
      </c>
      <c r="H106" s="486">
        <f t="shared" si="23"/>
        <v>155943.85272323861</v>
      </c>
      <c r="I106" s="542">
        <f t="shared" si="24"/>
        <v>155943.85272323861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>
      <c r="B107" s="160" t="str">
        <f t="shared" si="19"/>
        <v/>
      </c>
      <c r="C107" s="472">
        <f>IF(D93="","-",+C106+1)</f>
        <v>2025</v>
      </c>
      <c r="D107" s="347">
        <f>IF(F106+SUM(E$99:E106)=D$92,F106,D$92-SUM(E$99:E106))</f>
        <v>1086554</v>
      </c>
      <c r="E107" s="484">
        <f t="shared" si="20"/>
        <v>34333</v>
      </c>
      <c r="F107" s="485">
        <f t="shared" si="21"/>
        <v>1052221</v>
      </c>
      <c r="G107" s="485">
        <f t="shared" si="22"/>
        <v>1069387.5</v>
      </c>
      <c r="H107" s="486">
        <f t="shared" si="23"/>
        <v>152160.95170205893</v>
      </c>
      <c r="I107" s="542">
        <f t="shared" si="24"/>
        <v>152160.95170205893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>
      <c r="B108" s="160" t="str">
        <f t="shared" si="19"/>
        <v/>
      </c>
      <c r="C108" s="472">
        <f>IF(D93="","-",+C107+1)</f>
        <v>2026</v>
      </c>
      <c r="D108" s="347">
        <f>IF(F107+SUM(E$99:E107)=D$92,F107,D$92-SUM(E$99:E107))</f>
        <v>1052221</v>
      </c>
      <c r="E108" s="484">
        <f t="shared" si="20"/>
        <v>34333</v>
      </c>
      <c r="F108" s="485">
        <f t="shared" si="21"/>
        <v>1017888</v>
      </c>
      <c r="G108" s="485">
        <f t="shared" si="22"/>
        <v>1035054.5</v>
      </c>
      <c r="H108" s="486">
        <f t="shared" si="23"/>
        <v>148378.05068087924</v>
      </c>
      <c r="I108" s="542">
        <f t="shared" si="24"/>
        <v>148378.05068087924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>
      <c r="B109" s="160" t="str">
        <f t="shared" si="19"/>
        <v/>
      </c>
      <c r="C109" s="472">
        <f>IF(D93="","-",+C108+1)</f>
        <v>2027</v>
      </c>
      <c r="D109" s="347">
        <f>IF(F108+SUM(E$99:E108)=D$92,F108,D$92-SUM(E$99:E108))</f>
        <v>1017888</v>
      </c>
      <c r="E109" s="484">
        <f t="shared" si="20"/>
        <v>34333</v>
      </c>
      <c r="F109" s="485">
        <f t="shared" si="21"/>
        <v>983555</v>
      </c>
      <c r="G109" s="485">
        <f t="shared" si="22"/>
        <v>1000721.5</v>
      </c>
      <c r="H109" s="486">
        <f t="shared" si="23"/>
        <v>144595.14965969956</v>
      </c>
      <c r="I109" s="542">
        <f t="shared" si="24"/>
        <v>144595.14965969956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>
      <c r="B110" s="160" t="str">
        <f t="shared" si="19"/>
        <v/>
      </c>
      <c r="C110" s="472">
        <f>IF(D93="","-",+C109+1)</f>
        <v>2028</v>
      </c>
      <c r="D110" s="347">
        <f>IF(F109+SUM(E$99:E109)=D$92,F109,D$92-SUM(E$99:E109))</f>
        <v>983555</v>
      </c>
      <c r="E110" s="484">
        <f t="shared" si="20"/>
        <v>34333</v>
      </c>
      <c r="F110" s="485">
        <f t="shared" si="21"/>
        <v>949222</v>
      </c>
      <c r="G110" s="485">
        <f t="shared" si="22"/>
        <v>966388.5</v>
      </c>
      <c r="H110" s="486">
        <f t="shared" si="23"/>
        <v>140812.24863851987</v>
      </c>
      <c r="I110" s="542">
        <f t="shared" si="24"/>
        <v>140812.24863851987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>
      <c r="B111" s="160" t="str">
        <f t="shared" si="19"/>
        <v/>
      </c>
      <c r="C111" s="472">
        <f>IF(D93="","-",+C110+1)</f>
        <v>2029</v>
      </c>
      <c r="D111" s="347">
        <f>IF(F110+SUM(E$99:E110)=D$92,F110,D$92-SUM(E$99:E110))</f>
        <v>949222</v>
      </c>
      <c r="E111" s="484">
        <f t="shared" si="20"/>
        <v>34333</v>
      </c>
      <c r="F111" s="485">
        <f t="shared" si="21"/>
        <v>914889</v>
      </c>
      <c r="G111" s="485">
        <f t="shared" si="22"/>
        <v>932055.5</v>
      </c>
      <c r="H111" s="486">
        <f t="shared" si="23"/>
        <v>137029.34761734022</v>
      </c>
      <c r="I111" s="542">
        <f t="shared" si="24"/>
        <v>137029.34761734022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>
      <c r="B112" s="160" t="str">
        <f t="shared" si="19"/>
        <v/>
      </c>
      <c r="C112" s="472">
        <f>IF(D93="","-",+C111+1)</f>
        <v>2030</v>
      </c>
      <c r="D112" s="347">
        <f>IF(F111+SUM(E$99:E111)=D$92,F111,D$92-SUM(E$99:E111))</f>
        <v>914889</v>
      </c>
      <c r="E112" s="484">
        <f t="shared" si="20"/>
        <v>34333</v>
      </c>
      <c r="F112" s="485">
        <f t="shared" si="21"/>
        <v>880556</v>
      </c>
      <c r="G112" s="485">
        <f t="shared" si="22"/>
        <v>897722.5</v>
      </c>
      <c r="H112" s="486">
        <f t="shared" si="23"/>
        <v>133246.44659616053</v>
      </c>
      <c r="I112" s="542">
        <f t="shared" si="24"/>
        <v>133246.44659616053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>
      <c r="B113" s="160" t="str">
        <f t="shared" si="19"/>
        <v/>
      </c>
      <c r="C113" s="472">
        <f>IF(D93="","-",+C112+1)</f>
        <v>2031</v>
      </c>
      <c r="D113" s="347">
        <f>IF(F112+SUM(E$99:E112)=D$92,F112,D$92-SUM(E$99:E112))</f>
        <v>880556</v>
      </c>
      <c r="E113" s="484">
        <f t="shared" si="20"/>
        <v>34333</v>
      </c>
      <c r="F113" s="485">
        <f t="shared" si="21"/>
        <v>846223</v>
      </c>
      <c r="G113" s="485">
        <f t="shared" si="22"/>
        <v>863389.5</v>
      </c>
      <c r="H113" s="486">
        <f t="shared" si="23"/>
        <v>129463.54557498083</v>
      </c>
      <c r="I113" s="542">
        <f t="shared" si="24"/>
        <v>129463.54557498083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>
      <c r="B114" s="160" t="str">
        <f t="shared" si="19"/>
        <v/>
      </c>
      <c r="C114" s="472">
        <f>IF(D93="","-",+C113+1)</f>
        <v>2032</v>
      </c>
      <c r="D114" s="347">
        <f>IF(F113+SUM(E$99:E113)=D$92,F113,D$92-SUM(E$99:E113))</f>
        <v>846223</v>
      </c>
      <c r="E114" s="484">
        <f t="shared" si="20"/>
        <v>34333</v>
      </c>
      <c r="F114" s="485">
        <f t="shared" si="21"/>
        <v>811890</v>
      </c>
      <c r="G114" s="485">
        <f t="shared" si="22"/>
        <v>829056.5</v>
      </c>
      <c r="H114" s="486">
        <f t="shared" si="23"/>
        <v>125680.64455380115</v>
      </c>
      <c r="I114" s="542">
        <f t="shared" si="24"/>
        <v>125680.64455380115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>
      <c r="B115" s="160" t="str">
        <f t="shared" si="19"/>
        <v/>
      </c>
      <c r="C115" s="472">
        <f>IF(D93="","-",+C114+1)</f>
        <v>2033</v>
      </c>
      <c r="D115" s="347">
        <f>IF(F114+SUM(E$99:E114)=D$92,F114,D$92-SUM(E$99:E114))</f>
        <v>811890</v>
      </c>
      <c r="E115" s="484">
        <f t="shared" si="20"/>
        <v>34333</v>
      </c>
      <c r="F115" s="485">
        <f t="shared" si="21"/>
        <v>777557</v>
      </c>
      <c r="G115" s="485">
        <f t="shared" si="22"/>
        <v>794723.5</v>
      </c>
      <c r="H115" s="486">
        <f t="shared" si="23"/>
        <v>121897.74353262146</v>
      </c>
      <c r="I115" s="542">
        <f t="shared" si="24"/>
        <v>121897.74353262146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>
      <c r="B116" s="160" t="str">
        <f t="shared" si="19"/>
        <v/>
      </c>
      <c r="C116" s="472">
        <f>IF(D93="","-",+C115+1)</f>
        <v>2034</v>
      </c>
      <c r="D116" s="347">
        <f>IF(F115+SUM(E$99:E115)=D$92,F115,D$92-SUM(E$99:E115))</f>
        <v>777557</v>
      </c>
      <c r="E116" s="484">
        <f t="shared" si="20"/>
        <v>34333</v>
      </c>
      <c r="F116" s="485">
        <f t="shared" si="21"/>
        <v>743224</v>
      </c>
      <c r="G116" s="485">
        <f t="shared" si="22"/>
        <v>760390.5</v>
      </c>
      <c r="H116" s="486">
        <f t="shared" si="23"/>
        <v>118114.84251144178</v>
      </c>
      <c r="I116" s="542">
        <f t="shared" si="24"/>
        <v>118114.84251144178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>
      <c r="B117" s="160" t="str">
        <f t="shared" si="19"/>
        <v/>
      </c>
      <c r="C117" s="472">
        <f>IF(D93="","-",+C116+1)</f>
        <v>2035</v>
      </c>
      <c r="D117" s="347">
        <f>IF(F116+SUM(E$99:E116)=D$92,F116,D$92-SUM(E$99:E116))</f>
        <v>743224</v>
      </c>
      <c r="E117" s="484">
        <f t="shared" si="20"/>
        <v>34333</v>
      </c>
      <c r="F117" s="485">
        <f t="shared" si="21"/>
        <v>708891</v>
      </c>
      <c r="G117" s="485">
        <f t="shared" si="22"/>
        <v>726057.5</v>
      </c>
      <c r="H117" s="486">
        <f t="shared" si="23"/>
        <v>114331.94149026209</v>
      </c>
      <c r="I117" s="542">
        <f t="shared" si="24"/>
        <v>114331.94149026209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>
      <c r="B118" s="160" t="str">
        <f t="shared" si="19"/>
        <v/>
      </c>
      <c r="C118" s="472">
        <f>IF(D93="","-",+C117+1)</f>
        <v>2036</v>
      </c>
      <c r="D118" s="347">
        <f>IF(F117+SUM(E$99:E117)=D$92,F117,D$92-SUM(E$99:E117))</f>
        <v>708891</v>
      </c>
      <c r="E118" s="484">
        <f t="shared" si="20"/>
        <v>34333</v>
      </c>
      <c r="F118" s="485">
        <f t="shared" si="21"/>
        <v>674558</v>
      </c>
      <c r="G118" s="485">
        <f t="shared" si="22"/>
        <v>691724.5</v>
      </c>
      <c r="H118" s="486">
        <f t="shared" si="23"/>
        <v>110549.04046908241</v>
      </c>
      <c r="I118" s="542">
        <f t="shared" si="24"/>
        <v>110549.04046908241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>
      <c r="B119" s="160" t="str">
        <f t="shared" si="19"/>
        <v/>
      </c>
      <c r="C119" s="472">
        <f>IF(D93="","-",+C118+1)</f>
        <v>2037</v>
      </c>
      <c r="D119" s="347">
        <f>IF(F118+SUM(E$99:E118)=D$92,F118,D$92-SUM(E$99:E118))</f>
        <v>674558</v>
      </c>
      <c r="E119" s="484">
        <f t="shared" si="20"/>
        <v>34333</v>
      </c>
      <c r="F119" s="485">
        <f t="shared" si="21"/>
        <v>640225</v>
      </c>
      <c r="G119" s="485">
        <f t="shared" si="22"/>
        <v>657391.5</v>
      </c>
      <c r="H119" s="486">
        <f t="shared" si="23"/>
        <v>106766.13944790272</v>
      </c>
      <c r="I119" s="542">
        <f t="shared" si="24"/>
        <v>106766.13944790272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>
      <c r="B120" s="160" t="str">
        <f t="shared" si="19"/>
        <v/>
      </c>
      <c r="C120" s="472">
        <f>IF(D93="","-",+C119+1)</f>
        <v>2038</v>
      </c>
      <c r="D120" s="347">
        <f>IF(F119+SUM(E$99:E119)=D$92,F119,D$92-SUM(E$99:E119))</f>
        <v>640225</v>
      </c>
      <c r="E120" s="484">
        <f t="shared" si="20"/>
        <v>34333</v>
      </c>
      <c r="F120" s="485">
        <f t="shared" si="21"/>
        <v>605892</v>
      </c>
      <c r="G120" s="485">
        <f t="shared" si="22"/>
        <v>623058.5</v>
      </c>
      <c r="H120" s="486">
        <f t="shared" si="23"/>
        <v>102983.23842672304</v>
      </c>
      <c r="I120" s="542">
        <f t="shared" si="24"/>
        <v>102983.23842672304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>
      <c r="B121" s="160" t="str">
        <f t="shared" si="19"/>
        <v/>
      </c>
      <c r="C121" s="472">
        <f>IF(D93="","-",+C120+1)</f>
        <v>2039</v>
      </c>
      <c r="D121" s="347">
        <f>IF(F120+SUM(E$99:E120)=D$92,F120,D$92-SUM(E$99:E120))</f>
        <v>605892</v>
      </c>
      <c r="E121" s="484">
        <f t="shared" si="20"/>
        <v>34333</v>
      </c>
      <c r="F121" s="485">
        <f t="shared" si="21"/>
        <v>571559</v>
      </c>
      <c r="G121" s="485">
        <f t="shared" si="22"/>
        <v>588725.5</v>
      </c>
      <c r="H121" s="486">
        <f t="shared" si="23"/>
        <v>99200.337405543352</v>
      </c>
      <c r="I121" s="542">
        <f t="shared" si="24"/>
        <v>99200.337405543352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>
      <c r="B122" s="160" t="str">
        <f t="shared" si="19"/>
        <v/>
      </c>
      <c r="C122" s="472">
        <f>IF(D93="","-",+C121+1)</f>
        <v>2040</v>
      </c>
      <c r="D122" s="347">
        <f>IF(F121+SUM(E$99:E121)=D$92,F121,D$92-SUM(E$99:E121))</f>
        <v>571559</v>
      </c>
      <c r="E122" s="484">
        <f t="shared" si="20"/>
        <v>34333</v>
      </c>
      <c r="F122" s="485">
        <f t="shared" si="21"/>
        <v>537226</v>
      </c>
      <c r="G122" s="485">
        <f t="shared" si="22"/>
        <v>554392.5</v>
      </c>
      <c r="H122" s="486">
        <f t="shared" si="23"/>
        <v>95417.436384363682</v>
      </c>
      <c r="I122" s="542">
        <f t="shared" si="24"/>
        <v>95417.436384363682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>
      <c r="B123" s="160" t="str">
        <f t="shared" si="19"/>
        <v/>
      </c>
      <c r="C123" s="472">
        <f>IF(D93="","-",+C122+1)</f>
        <v>2041</v>
      </c>
      <c r="D123" s="347">
        <f>IF(F122+SUM(E$99:E122)=D$92,F122,D$92-SUM(E$99:E122))</f>
        <v>537226</v>
      </c>
      <c r="E123" s="484">
        <f t="shared" si="20"/>
        <v>34333</v>
      </c>
      <c r="F123" s="485">
        <f t="shared" si="21"/>
        <v>502893</v>
      </c>
      <c r="G123" s="485">
        <f t="shared" si="22"/>
        <v>520059.5</v>
      </c>
      <c r="H123" s="486">
        <f t="shared" si="23"/>
        <v>91634.535363183997</v>
      </c>
      <c r="I123" s="542">
        <f t="shared" si="24"/>
        <v>91634.535363183997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>
      <c r="B124" s="160" t="str">
        <f t="shared" si="19"/>
        <v/>
      </c>
      <c r="C124" s="472">
        <f>IF(D93="","-",+C123+1)</f>
        <v>2042</v>
      </c>
      <c r="D124" s="347">
        <f>IF(F123+SUM(E$99:E123)=D$92,F123,D$92-SUM(E$99:E123))</f>
        <v>502893</v>
      </c>
      <c r="E124" s="484">
        <f t="shared" si="20"/>
        <v>34333</v>
      </c>
      <c r="F124" s="485">
        <f t="shared" si="21"/>
        <v>468560</v>
      </c>
      <c r="G124" s="485">
        <f t="shared" si="22"/>
        <v>485726.5</v>
      </c>
      <c r="H124" s="486">
        <f t="shared" si="23"/>
        <v>87851.634342004312</v>
      </c>
      <c r="I124" s="542">
        <f t="shared" si="24"/>
        <v>87851.634342004312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>
      <c r="B125" s="160" t="str">
        <f t="shared" si="19"/>
        <v/>
      </c>
      <c r="C125" s="472">
        <f>IF(D93="","-",+C124+1)</f>
        <v>2043</v>
      </c>
      <c r="D125" s="347">
        <f>IF(F124+SUM(E$99:E124)=D$92,F124,D$92-SUM(E$99:E124))</f>
        <v>468560</v>
      </c>
      <c r="E125" s="484">
        <f t="shared" si="20"/>
        <v>34333</v>
      </c>
      <c r="F125" s="485">
        <f t="shared" si="21"/>
        <v>434227</v>
      </c>
      <c r="G125" s="485">
        <f t="shared" si="22"/>
        <v>451393.5</v>
      </c>
      <c r="H125" s="486">
        <f t="shared" si="23"/>
        <v>84068.733320824627</v>
      </c>
      <c r="I125" s="542">
        <f t="shared" si="24"/>
        <v>84068.733320824627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>
      <c r="B126" s="160" t="str">
        <f t="shared" si="19"/>
        <v/>
      </c>
      <c r="C126" s="472">
        <f>IF(D93="","-",+C125+1)</f>
        <v>2044</v>
      </c>
      <c r="D126" s="347">
        <f>IF(F125+SUM(E$99:E125)=D$92,F125,D$92-SUM(E$99:E125))</f>
        <v>434227</v>
      </c>
      <c r="E126" s="484">
        <f t="shared" si="20"/>
        <v>34333</v>
      </c>
      <c r="F126" s="485">
        <f t="shared" si="21"/>
        <v>399894</v>
      </c>
      <c r="G126" s="485">
        <f t="shared" si="22"/>
        <v>417060.5</v>
      </c>
      <c r="H126" s="486">
        <f t="shared" si="23"/>
        <v>80285.832299644942</v>
      </c>
      <c r="I126" s="542">
        <f t="shared" si="24"/>
        <v>80285.832299644942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>
      <c r="B127" s="160" t="str">
        <f t="shared" si="19"/>
        <v/>
      </c>
      <c r="C127" s="472">
        <f>IF(D93="","-",+C126+1)</f>
        <v>2045</v>
      </c>
      <c r="D127" s="347">
        <f>IF(F126+SUM(E$99:E126)=D$92,F126,D$92-SUM(E$99:E126))</f>
        <v>399894</v>
      </c>
      <c r="E127" s="484">
        <f t="shared" si="20"/>
        <v>34333</v>
      </c>
      <c r="F127" s="485">
        <f t="shared" si="21"/>
        <v>365561</v>
      </c>
      <c r="G127" s="485">
        <f t="shared" si="22"/>
        <v>382727.5</v>
      </c>
      <c r="H127" s="486">
        <f t="shared" si="23"/>
        <v>76502.931278465257</v>
      </c>
      <c r="I127" s="542">
        <f t="shared" si="24"/>
        <v>76502.931278465257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>
      <c r="B128" s="160" t="str">
        <f t="shared" si="19"/>
        <v/>
      </c>
      <c r="C128" s="472">
        <f>IF(D93="","-",+C127+1)</f>
        <v>2046</v>
      </c>
      <c r="D128" s="347">
        <f>IF(F127+SUM(E$99:E127)=D$92,F127,D$92-SUM(E$99:E127))</f>
        <v>365561</v>
      </c>
      <c r="E128" s="484">
        <f t="shared" si="20"/>
        <v>34333</v>
      </c>
      <c r="F128" s="485">
        <f t="shared" si="21"/>
        <v>331228</v>
      </c>
      <c r="G128" s="485">
        <f t="shared" si="22"/>
        <v>348394.5</v>
      </c>
      <c r="H128" s="486">
        <f t="shared" si="23"/>
        <v>72720.030257285573</v>
      </c>
      <c r="I128" s="542">
        <f t="shared" si="24"/>
        <v>72720.030257285573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>
      <c r="B129" s="160" t="str">
        <f t="shared" si="19"/>
        <v/>
      </c>
      <c r="C129" s="472">
        <f>IF(D93="","-",+C128+1)</f>
        <v>2047</v>
      </c>
      <c r="D129" s="347">
        <f>IF(F128+SUM(E$99:E128)=D$92,F128,D$92-SUM(E$99:E128))</f>
        <v>331228</v>
      </c>
      <c r="E129" s="484">
        <f t="shared" si="20"/>
        <v>34333</v>
      </c>
      <c r="F129" s="485">
        <f t="shared" si="21"/>
        <v>296895</v>
      </c>
      <c r="G129" s="485">
        <f t="shared" si="22"/>
        <v>314061.5</v>
      </c>
      <c r="H129" s="486">
        <f t="shared" si="23"/>
        <v>68937.129236105888</v>
      </c>
      <c r="I129" s="542">
        <f t="shared" si="24"/>
        <v>68937.129236105888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>
      <c r="B130" s="160" t="str">
        <f t="shared" si="19"/>
        <v/>
      </c>
      <c r="C130" s="472">
        <f>IF(D93="","-",+C129+1)</f>
        <v>2048</v>
      </c>
      <c r="D130" s="347">
        <f>IF(F129+SUM(E$99:E129)=D$92,F129,D$92-SUM(E$99:E129))</f>
        <v>296895</v>
      </c>
      <c r="E130" s="484">
        <f t="shared" si="20"/>
        <v>34333</v>
      </c>
      <c r="F130" s="485">
        <f t="shared" si="21"/>
        <v>262562</v>
      </c>
      <c r="G130" s="485">
        <f t="shared" si="22"/>
        <v>279728.5</v>
      </c>
      <c r="H130" s="486">
        <f t="shared" si="23"/>
        <v>65154.228214926203</v>
      </c>
      <c r="I130" s="542">
        <f t="shared" si="24"/>
        <v>65154.228214926203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>
      <c r="B131" s="160" t="str">
        <f t="shared" si="19"/>
        <v/>
      </c>
      <c r="C131" s="472">
        <f>IF(D93="","-",+C130+1)</f>
        <v>2049</v>
      </c>
      <c r="D131" s="347">
        <f>IF(F130+SUM(E$99:E130)=D$92,F130,D$92-SUM(E$99:E130))</f>
        <v>262562</v>
      </c>
      <c r="E131" s="484">
        <f t="shared" si="20"/>
        <v>34333</v>
      </c>
      <c r="F131" s="485">
        <f t="shared" si="21"/>
        <v>228229</v>
      </c>
      <c r="G131" s="485">
        <f t="shared" si="22"/>
        <v>245395.5</v>
      </c>
      <c r="H131" s="486">
        <f t="shared" si="23"/>
        <v>61371.327193746518</v>
      </c>
      <c r="I131" s="542">
        <f t="shared" si="24"/>
        <v>61371.327193746518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9"/>
        <v/>
      </c>
      <c r="C132" s="472">
        <f>IF(D93="","-",+C131+1)</f>
        <v>2050</v>
      </c>
      <c r="D132" s="347">
        <f>IF(F131+SUM(E$99:E131)=D$92,F131,D$92-SUM(E$99:E131))</f>
        <v>228229</v>
      </c>
      <c r="E132" s="484">
        <f t="shared" si="20"/>
        <v>34333</v>
      </c>
      <c r="F132" s="485">
        <f t="shared" si="21"/>
        <v>193896</v>
      </c>
      <c r="G132" s="485">
        <f t="shared" si="22"/>
        <v>211062.5</v>
      </c>
      <c r="H132" s="486">
        <f t="shared" si="23"/>
        <v>57588.426172566833</v>
      </c>
      <c r="I132" s="542">
        <f t="shared" si="24"/>
        <v>57588.426172566833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9"/>
        <v/>
      </c>
      <c r="C133" s="472">
        <f>IF(D93="","-",+C132+1)</f>
        <v>2051</v>
      </c>
      <c r="D133" s="347">
        <f>IF(F132+SUM(E$99:E132)=D$92,F132,D$92-SUM(E$99:E132))</f>
        <v>193896</v>
      </c>
      <c r="E133" s="484">
        <f t="shared" si="20"/>
        <v>34333</v>
      </c>
      <c r="F133" s="485">
        <f t="shared" si="21"/>
        <v>159563</v>
      </c>
      <c r="G133" s="485">
        <f t="shared" si="22"/>
        <v>176729.5</v>
      </c>
      <c r="H133" s="486">
        <f t="shared" si="23"/>
        <v>53805.525151387148</v>
      </c>
      <c r="I133" s="542">
        <f t="shared" si="24"/>
        <v>53805.525151387148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9"/>
        <v/>
      </c>
      <c r="C134" s="472">
        <f>IF(D93="","-",+C133+1)</f>
        <v>2052</v>
      </c>
      <c r="D134" s="347">
        <f>IF(F133+SUM(E$99:E133)=D$92,F133,D$92-SUM(E$99:E133))</f>
        <v>159563</v>
      </c>
      <c r="E134" s="484">
        <f t="shared" si="20"/>
        <v>34333</v>
      </c>
      <c r="F134" s="485">
        <f t="shared" si="21"/>
        <v>125230</v>
      </c>
      <c r="G134" s="485">
        <f t="shared" si="22"/>
        <v>142396.5</v>
      </c>
      <c r="H134" s="486">
        <f t="shared" si="23"/>
        <v>50022.624130207463</v>
      </c>
      <c r="I134" s="542">
        <f t="shared" si="24"/>
        <v>50022.624130207463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9"/>
        <v/>
      </c>
      <c r="C135" s="472">
        <f>IF(D93="","-",+C134+1)</f>
        <v>2053</v>
      </c>
      <c r="D135" s="347">
        <f>IF(F134+SUM(E$99:E134)=D$92,F134,D$92-SUM(E$99:E134))</f>
        <v>125230</v>
      </c>
      <c r="E135" s="484">
        <f t="shared" si="20"/>
        <v>34333</v>
      </c>
      <c r="F135" s="485">
        <f t="shared" si="21"/>
        <v>90897</v>
      </c>
      <c r="G135" s="485">
        <f t="shared" si="22"/>
        <v>108063.5</v>
      </c>
      <c r="H135" s="486">
        <f t="shared" si="23"/>
        <v>46239.723109027778</v>
      </c>
      <c r="I135" s="542">
        <f t="shared" si="24"/>
        <v>46239.723109027778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9"/>
        <v/>
      </c>
      <c r="C136" s="472">
        <f>IF(D93="","-",+C135+1)</f>
        <v>2054</v>
      </c>
      <c r="D136" s="347">
        <f>IF(F135+SUM(E$99:E135)=D$92,F135,D$92-SUM(E$99:E135))</f>
        <v>90897</v>
      </c>
      <c r="E136" s="484">
        <f t="shared" si="20"/>
        <v>34333</v>
      </c>
      <c r="F136" s="485">
        <f t="shared" si="21"/>
        <v>56564</v>
      </c>
      <c r="G136" s="485">
        <f t="shared" si="22"/>
        <v>73730.5</v>
      </c>
      <c r="H136" s="486">
        <f t="shared" si="23"/>
        <v>42456.822087848093</v>
      </c>
      <c r="I136" s="542">
        <f t="shared" si="24"/>
        <v>42456.822087848093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9"/>
        <v/>
      </c>
      <c r="C137" s="472">
        <f>IF(D93="","-",+C136+1)</f>
        <v>2055</v>
      </c>
      <c r="D137" s="347">
        <f>IF(F136+SUM(E$99:E136)=D$92,F136,D$92-SUM(E$99:E136))</f>
        <v>56564</v>
      </c>
      <c r="E137" s="484">
        <f t="shared" si="20"/>
        <v>34333</v>
      </c>
      <c r="F137" s="485">
        <f t="shared" si="21"/>
        <v>22231</v>
      </c>
      <c r="G137" s="485">
        <f t="shared" si="22"/>
        <v>39397.5</v>
      </c>
      <c r="H137" s="486">
        <f t="shared" si="23"/>
        <v>38673.921066668408</v>
      </c>
      <c r="I137" s="542">
        <f t="shared" si="24"/>
        <v>38673.921066668408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9"/>
        <v/>
      </c>
      <c r="C138" s="472">
        <f>IF(D93="","-",+C137+1)</f>
        <v>2056</v>
      </c>
      <c r="D138" s="347">
        <f>IF(F137+SUM(E$99:E137)=D$92,F137,D$92-SUM(E$99:E137))</f>
        <v>22231</v>
      </c>
      <c r="E138" s="484">
        <f t="shared" si="20"/>
        <v>22231</v>
      </c>
      <c r="F138" s="485">
        <f t="shared" si="21"/>
        <v>0</v>
      </c>
      <c r="G138" s="485">
        <f t="shared" si="22"/>
        <v>11115.5</v>
      </c>
      <c r="H138" s="486">
        <f t="shared" si="23"/>
        <v>23455.735278039287</v>
      </c>
      <c r="I138" s="542">
        <f t="shared" si="24"/>
        <v>23455.735278039287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9"/>
        <v/>
      </c>
      <c r="C139" s="472">
        <f>IF(D93="","-",+C138+1)</f>
        <v>2057</v>
      </c>
      <c r="D139" s="347">
        <f>IF(F138+SUM(E$99:E138)=D$92,F138,D$92-SUM(E$99:E138))</f>
        <v>0</v>
      </c>
      <c r="E139" s="484">
        <f t="shared" si="20"/>
        <v>0</v>
      </c>
      <c r="F139" s="485">
        <f t="shared" si="21"/>
        <v>0</v>
      </c>
      <c r="G139" s="485">
        <f t="shared" si="22"/>
        <v>0</v>
      </c>
      <c r="H139" s="486">
        <f t="shared" si="23"/>
        <v>0</v>
      </c>
      <c r="I139" s="542">
        <f t="shared" si="24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9"/>
        <v/>
      </c>
      <c r="C140" s="472">
        <f>IF(D93="","-",+C139+1)</f>
        <v>2058</v>
      </c>
      <c r="D140" s="347">
        <f>IF(F139+SUM(E$99:E139)=D$92,F139,D$92-SUM(E$99:E139))</f>
        <v>0</v>
      </c>
      <c r="E140" s="484">
        <f t="shared" si="20"/>
        <v>0</v>
      </c>
      <c r="F140" s="485">
        <f t="shared" si="21"/>
        <v>0</v>
      </c>
      <c r="G140" s="485">
        <f t="shared" si="22"/>
        <v>0</v>
      </c>
      <c r="H140" s="486">
        <f t="shared" si="23"/>
        <v>0</v>
      </c>
      <c r="I140" s="542">
        <f t="shared" si="24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9"/>
        <v/>
      </c>
      <c r="C141" s="472">
        <f>IF(D93="","-",+C140+1)</f>
        <v>2059</v>
      </c>
      <c r="D141" s="347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486">
        <f t="shared" si="23"/>
        <v>0</v>
      </c>
      <c r="I141" s="542">
        <f t="shared" si="24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9"/>
        <v/>
      </c>
      <c r="C142" s="472">
        <f>IF(D93="","-",+C141+1)</f>
        <v>2060</v>
      </c>
      <c r="D142" s="347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486">
        <f t="shared" si="23"/>
        <v>0</v>
      </c>
      <c r="I142" s="542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9"/>
        <v/>
      </c>
      <c r="C143" s="472">
        <f>IF(D93="","-",+C142+1)</f>
        <v>2061</v>
      </c>
      <c r="D143" s="347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486">
        <f t="shared" si="23"/>
        <v>0</v>
      </c>
      <c r="I143" s="542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9"/>
        <v/>
      </c>
      <c r="C144" s="472">
        <f>IF(D93="","-",+C143+1)</f>
        <v>2062</v>
      </c>
      <c r="D144" s="347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486">
        <f t="shared" si="23"/>
        <v>0</v>
      </c>
      <c r="I144" s="542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9"/>
        <v/>
      </c>
      <c r="C145" s="472">
        <f>IF(D93="","-",+C144+1)</f>
        <v>2063</v>
      </c>
      <c r="D145" s="347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486">
        <f t="shared" si="23"/>
        <v>0</v>
      </c>
      <c r="I145" s="542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9"/>
        <v/>
      </c>
      <c r="C146" s="472">
        <f>IF(D93="","-",+C145+1)</f>
        <v>2064</v>
      </c>
      <c r="D146" s="347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486">
        <f t="shared" si="23"/>
        <v>0</v>
      </c>
      <c r="I146" s="542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9"/>
        <v/>
      </c>
      <c r="C147" s="472">
        <f>IF(D93="","-",+C146+1)</f>
        <v>2065</v>
      </c>
      <c r="D147" s="347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486">
        <f t="shared" si="23"/>
        <v>0</v>
      </c>
      <c r="I147" s="542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9"/>
        <v/>
      </c>
      <c r="C148" s="472">
        <f>IF(D93="","-",+C147+1)</f>
        <v>2066</v>
      </c>
      <c r="D148" s="347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486">
        <f t="shared" si="23"/>
        <v>0</v>
      </c>
      <c r="I148" s="542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9"/>
        <v/>
      </c>
      <c r="C149" s="472">
        <f>IF(D93="","-",+C148+1)</f>
        <v>2067</v>
      </c>
      <c r="D149" s="347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486">
        <f t="shared" si="23"/>
        <v>0</v>
      </c>
      <c r="I149" s="542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9"/>
        <v/>
      </c>
      <c r="C150" s="472">
        <f>IF(D93="","-",+C149+1)</f>
        <v>2068</v>
      </c>
      <c r="D150" s="347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486">
        <f t="shared" si="23"/>
        <v>0</v>
      </c>
      <c r="I150" s="542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9"/>
        <v/>
      </c>
      <c r="C151" s="472">
        <f>IF(D93="","-",+C150+1)</f>
        <v>2069</v>
      </c>
      <c r="D151" s="347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486">
        <f t="shared" si="23"/>
        <v>0</v>
      </c>
      <c r="I151" s="542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9"/>
        <v/>
      </c>
      <c r="C152" s="472">
        <f>IF(D93="","-",+C151+1)</f>
        <v>2070</v>
      </c>
      <c r="D152" s="347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486">
        <f t="shared" si="23"/>
        <v>0</v>
      </c>
      <c r="I152" s="542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9"/>
        <v/>
      </c>
      <c r="C153" s="472">
        <f>IF(D93="","-",+C152+1)</f>
        <v>2071</v>
      </c>
      <c r="D153" s="347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486">
        <f t="shared" si="23"/>
        <v>0</v>
      </c>
      <c r="I153" s="542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9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1338978</v>
      </c>
      <c r="F155" s="348"/>
      <c r="G155" s="348"/>
      <c r="H155" s="348">
        <f>SUM(H99:H154)</f>
        <v>4238116.6187464064</v>
      </c>
      <c r="I155" s="348">
        <f>SUM(I99:I154)</f>
        <v>4238116.6187464064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9"/>
  <dimension ref="A1:P162"/>
  <sheetViews>
    <sheetView view="pageBreakPreview" zoomScale="78" zoomScaleNormal="100" zoomScaleSheetLayoutView="78" workbookViewId="0">
      <selection activeCell="G27" sqref="G2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20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241564.55964853393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241564.55964853393</v>
      </c>
      <c r="O6" s="233"/>
      <c r="P6" s="233"/>
    </row>
    <row r="7" spans="1:16" ht="13.5" thickBot="1">
      <c r="C7" s="431" t="s">
        <v>46</v>
      </c>
      <c r="D7" s="599" t="s">
        <v>279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295</v>
      </c>
      <c r="E9" s="577" t="s">
        <v>296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1961221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46695.738095238092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v>2017</v>
      </c>
      <c r="D17" s="584">
        <v>0</v>
      </c>
      <c r="E17" s="608">
        <v>0</v>
      </c>
      <c r="F17" s="584">
        <v>483000</v>
      </c>
      <c r="G17" s="608">
        <v>30733</v>
      </c>
      <c r="H17" s="587">
        <v>30733</v>
      </c>
      <c r="I17" s="475">
        <f t="shared" ref="I17:I72" si="0">H17-G17</f>
        <v>0</v>
      </c>
      <c r="J17" s="475"/>
      <c r="K17" s="477">
        <f t="shared" ref="K17:K22" si="1">+G17</f>
        <v>30733</v>
      </c>
      <c r="L17" s="477">
        <f t="shared" ref="L17:L72" si="2">IF(K17&lt;&gt;0,+G17-K17,0)</f>
        <v>0</v>
      </c>
      <c r="M17" s="477">
        <f t="shared" ref="M17:M22" si="3">+H17</f>
        <v>30733</v>
      </c>
      <c r="N17" s="477">
        <f t="shared" ref="N17:N72" si="4">IF(M17&lt;&gt;0,+H17-M17,0)</f>
        <v>0</v>
      </c>
      <c r="O17" s="478">
        <f t="shared" ref="O17:O72" si="5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2018</v>
      </c>
      <c r="D18" s="584">
        <v>483000</v>
      </c>
      <c r="E18" s="585">
        <v>10555.555555555555</v>
      </c>
      <c r="F18" s="584">
        <v>1140000</v>
      </c>
      <c r="G18" s="585">
        <v>78818.151758984837</v>
      </c>
      <c r="H18" s="587">
        <v>78818.151758984837</v>
      </c>
      <c r="I18" s="475">
        <f t="shared" si="0"/>
        <v>0</v>
      </c>
      <c r="J18" s="475"/>
      <c r="K18" s="478">
        <f t="shared" si="1"/>
        <v>78818.151758984837</v>
      </c>
      <c r="L18" s="478">
        <f t="shared" si="2"/>
        <v>0</v>
      </c>
      <c r="M18" s="478">
        <f t="shared" si="3"/>
        <v>78818.151758984837</v>
      </c>
      <c r="N18" s="478">
        <f t="shared" si="4"/>
        <v>0</v>
      </c>
      <c r="O18" s="478">
        <f t="shared" si="5"/>
        <v>0</v>
      </c>
      <c r="P18" s="243"/>
    </row>
    <row r="19" spans="2:16">
      <c r="B19" s="160" t="str">
        <f>IF(D19=F18,"","IU")</f>
        <v>IU</v>
      </c>
      <c r="C19" s="472">
        <f>IF(D11="","-",+C18+1)</f>
        <v>2019</v>
      </c>
      <c r="D19" s="584">
        <v>1129444.4444444445</v>
      </c>
      <c r="E19" s="585">
        <v>28500</v>
      </c>
      <c r="F19" s="584">
        <v>1100944.4444444445</v>
      </c>
      <c r="G19" s="585">
        <v>153018.85490841107</v>
      </c>
      <c r="H19" s="587">
        <v>153018.85490841107</v>
      </c>
      <c r="I19" s="475">
        <f t="shared" si="0"/>
        <v>0</v>
      </c>
      <c r="J19" s="475"/>
      <c r="K19" s="478">
        <f t="shared" si="1"/>
        <v>153018.85490841107</v>
      </c>
      <c r="L19" s="478">
        <f t="shared" ref="L19" si="6">IF(K19&lt;&gt;0,+G19-K19,0)</f>
        <v>0</v>
      </c>
      <c r="M19" s="478">
        <f t="shared" si="3"/>
        <v>153018.85490841107</v>
      </c>
      <c r="N19" s="478">
        <f t="shared" si="4"/>
        <v>0</v>
      </c>
      <c r="O19" s="478">
        <f t="shared" si="5"/>
        <v>0</v>
      </c>
      <c r="P19" s="243"/>
    </row>
    <row r="20" spans="2:16">
      <c r="B20" s="160" t="str">
        <f t="shared" ref="B20:B72" si="7">IF(D20=F19,"","IU")</f>
        <v>IU</v>
      </c>
      <c r="C20" s="472">
        <f>IF(D11="","-",+C19+1)</f>
        <v>2020</v>
      </c>
      <c r="D20" s="584">
        <v>1883840.111111111</v>
      </c>
      <c r="E20" s="585">
        <v>45707.833333333336</v>
      </c>
      <c r="F20" s="584">
        <v>1838132.2777777778</v>
      </c>
      <c r="G20" s="585">
        <v>246703.23209680832</v>
      </c>
      <c r="H20" s="587">
        <v>246703.23209680832</v>
      </c>
      <c r="I20" s="475">
        <f t="shared" si="0"/>
        <v>0</v>
      </c>
      <c r="J20" s="475"/>
      <c r="K20" s="478">
        <f t="shared" si="1"/>
        <v>246703.23209680832</v>
      </c>
      <c r="L20" s="478">
        <f t="shared" ref="L20" si="8">IF(K20&lt;&gt;0,+G20-K20,0)</f>
        <v>0</v>
      </c>
      <c r="M20" s="478">
        <f t="shared" si="3"/>
        <v>246703.23209680832</v>
      </c>
      <c r="N20" s="478">
        <f t="shared" si="4"/>
        <v>0</v>
      </c>
      <c r="O20" s="478">
        <f t="shared" si="5"/>
        <v>0</v>
      </c>
      <c r="P20" s="243"/>
    </row>
    <row r="21" spans="2:16">
      <c r="B21" s="160" t="str">
        <f t="shared" si="7"/>
        <v>IU</v>
      </c>
      <c r="C21" s="472">
        <f>IF(D11="","-",+C20+1)</f>
        <v>2021</v>
      </c>
      <c r="D21" s="584">
        <v>1876457.611111111</v>
      </c>
      <c r="E21" s="585">
        <v>45609.79069767442</v>
      </c>
      <c r="F21" s="584">
        <v>1830847.8204134365</v>
      </c>
      <c r="G21" s="585">
        <v>245473.68855677257</v>
      </c>
      <c r="H21" s="587">
        <v>245473.68855677257</v>
      </c>
      <c r="I21" s="475">
        <f t="shared" si="0"/>
        <v>0</v>
      </c>
      <c r="J21" s="475"/>
      <c r="K21" s="478">
        <f t="shared" si="1"/>
        <v>245473.68855677257</v>
      </c>
      <c r="L21" s="478">
        <f t="shared" ref="L21" si="9">IF(K21&lt;&gt;0,+G21-K21,0)</f>
        <v>0</v>
      </c>
      <c r="M21" s="478">
        <f t="shared" si="3"/>
        <v>245473.68855677257</v>
      </c>
      <c r="N21" s="478">
        <f t="shared" si="4"/>
        <v>0</v>
      </c>
      <c r="O21" s="478">
        <f t="shared" si="5"/>
        <v>0</v>
      </c>
      <c r="P21" s="243"/>
    </row>
    <row r="22" spans="2:16">
      <c r="B22" s="160" t="str">
        <f t="shared" si="7"/>
        <v/>
      </c>
      <c r="C22" s="472">
        <f>IF(D11="","-",+C21+1)</f>
        <v>2022</v>
      </c>
      <c r="D22" s="584">
        <v>1830847.8204134365</v>
      </c>
      <c r="E22" s="585">
        <v>46695.738095238092</v>
      </c>
      <c r="F22" s="584">
        <v>1784152.0823181984</v>
      </c>
      <c r="G22" s="585">
        <v>241564.55964853393</v>
      </c>
      <c r="H22" s="587">
        <v>241564.55964853393</v>
      </c>
      <c r="I22" s="475">
        <f t="shared" si="0"/>
        <v>0</v>
      </c>
      <c r="J22" s="475"/>
      <c r="K22" s="478">
        <f t="shared" si="1"/>
        <v>241564.55964853393</v>
      </c>
      <c r="L22" s="478">
        <f t="shared" ref="L22" si="10">IF(K22&lt;&gt;0,+G22-K22,0)</f>
        <v>0</v>
      </c>
      <c r="M22" s="478">
        <f t="shared" si="3"/>
        <v>241564.55964853393</v>
      </c>
      <c r="N22" s="478">
        <f t="shared" si="4"/>
        <v>0</v>
      </c>
      <c r="O22" s="478">
        <f t="shared" si="5"/>
        <v>0</v>
      </c>
      <c r="P22" s="243"/>
    </row>
    <row r="23" spans="2:16">
      <c r="B23" s="160" t="str">
        <f t="shared" si="7"/>
        <v/>
      </c>
      <c r="C23" s="472">
        <f>IF(D11="","-",+C22+1)</f>
        <v>2023</v>
      </c>
      <c r="D23" s="483">
        <f>IF(F22+SUM(E$17:E22)=D$10,F22,D$10-SUM(E$17:E22))</f>
        <v>1784152.0823181984</v>
      </c>
      <c r="E23" s="484">
        <f t="shared" ref="E23:E72" si="11">IF(+I$14&lt;F22,I$14,D23)</f>
        <v>46695.738095238092</v>
      </c>
      <c r="F23" s="485">
        <f t="shared" ref="F23:F72" si="12">+D23-E23</f>
        <v>1737456.3442229603</v>
      </c>
      <c r="G23" s="486">
        <f t="shared" ref="G23:G72" si="13">(D23+F23)/2*I$12+E23</f>
        <v>236530.23395059718</v>
      </c>
      <c r="H23" s="455">
        <f t="shared" ref="H23:H72" si="14">+(D23+F23)/2*I$13+E23</f>
        <v>236530.23395059718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3"/>
    </row>
    <row r="24" spans="2:16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1737456.3442229603</v>
      </c>
      <c r="E24" s="484">
        <f t="shared" si="11"/>
        <v>46695.738095238092</v>
      </c>
      <c r="F24" s="485">
        <f t="shared" si="12"/>
        <v>1690760.6061277222</v>
      </c>
      <c r="G24" s="486">
        <f t="shared" si="13"/>
        <v>231495.90825266042</v>
      </c>
      <c r="H24" s="455">
        <f t="shared" si="14"/>
        <v>231495.90825266042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3"/>
    </row>
    <row r="25" spans="2:16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1690760.6061277222</v>
      </c>
      <c r="E25" s="484">
        <f t="shared" si="11"/>
        <v>46695.738095238092</v>
      </c>
      <c r="F25" s="485">
        <f t="shared" si="12"/>
        <v>1644064.8680324841</v>
      </c>
      <c r="G25" s="486">
        <f t="shared" si="13"/>
        <v>226461.58255472366</v>
      </c>
      <c r="H25" s="455">
        <f t="shared" si="14"/>
        <v>226461.58255472366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3"/>
    </row>
    <row r="26" spans="2:16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1644064.8680324841</v>
      </c>
      <c r="E26" s="484">
        <f t="shared" si="11"/>
        <v>46695.738095238092</v>
      </c>
      <c r="F26" s="485">
        <f t="shared" si="12"/>
        <v>1597369.129937246</v>
      </c>
      <c r="G26" s="486">
        <f t="shared" si="13"/>
        <v>221427.25685678684</v>
      </c>
      <c r="H26" s="455">
        <f t="shared" si="14"/>
        <v>221427.25685678684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3"/>
    </row>
    <row r="27" spans="2:16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1597369.129937246</v>
      </c>
      <c r="E27" s="484">
        <f t="shared" si="11"/>
        <v>46695.738095238092</v>
      </c>
      <c r="F27" s="485">
        <f t="shared" si="12"/>
        <v>1550673.3918420079</v>
      </c>
      <c r="G27" s="486">
        <f t="shared" si="13"/>
        <v>216392.93115885014</v>
      </c>
      <c r="H27" s="455">
        <f t="shared" si="14"/>
        <v>216392.93115885014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1550673.3918420079</v>
      </c>
      <c r="E28" s="484">
        <f t="shared" si="11"/>
        <v>46695.738095238092</v>
      </c>
      <c r="F28" s="485">
        <f t="shared" si="12"/>
        <v>1503977.6537467698</v>
      </c>
      <c r="G28" s="486">
        <f t="shared" si="13"/>
        <v>211358.60546091333</v>
      </c>
      <c r="H28" s="455">
        <f t="shared" si="14"/>
        <v>211358.60546091333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1503977.6537467698</v>
      </c>
      <c r="E29" s="484">
        <f t="shared" si="11"/>
        <v>46695.738095238092</v>
      </c>
      <c r="F29" s="485">
        <f t="shared" si="12"/>
        <v>1457281.9156515317</v>
      </c>
      <c r="G29" s="486">
        <f t="shared" si="13"/>
        <v>206324.27976297657</v>
      </c>
      <c r="H29" s="455">
        <f t="shared" si="14"/>
        <v>206324.27976297657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1457281.9156515317</v>
      </c>
      <c r="E30" s="484">
        <f t="shared" si="11"/>
        <v>46695.738095238092</v>
      </c>
      <c r="F30" s="485">
        <f t="shared" si="12"/>
        <v>1410586.1775562936</v>
      </c>
      <c r="G30" s="486">
        <f t="shared" si="13"/>
        <v>201289.95406503981</v>
      </c>
      <c r="H30" s="455">
        <f t="shared" si="14"/>
        <v>201289.95406503981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1410586.1775562936</v>
      </c>
      <c r="E31" s="484">
        <f t="shared" si="11"/>
        <v>46695.738095238092</v>
      </c>
      <c r="F31" s="485">
        <f t="shared" si="12"/>
        <v>1363890.4394610554</v>
      </c>
      <c r="G31" s="486">
        <f t="shared" si="13"/>
        <v>196255.62836710305</v>
      </c>
      <c r="H31" s="455">
        <f t="shared" si="14"/>
        <v>196255.62836710305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1363890.4394610554</v>
      </c>
      <c r="E32" s="484">
        <f t="shared" si="11"/>
        <v>46695.738095238092</v>
      </c>
      <c r="F32" s="485">
        <f t="shared" si="12"/>
        <v>1317194.7013658173</v>
      </c>
      <c r="G32" s="486">
        <f t="shared" si="13"/>
        <v>191221.30266916624</v>
      </c>
      <c r="H32" s="455">
        <f t="shared" si="14"/>
        <v>191221.30266916624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1317194.7013658173</v>
      </c>
      <c r="E33" s="484">
        <f t="shared" si="11"/>
        <v>46695.738095238092</v>
      </c>
      <c r="F33" s="485">
        <f t="shared" si="12"/>
        <v>1270498.9632705792</v>
      </c>
      <c r="G33" s="486">
        <f t="shared" si="13"/>
        <v>186186.97697122948</v>
      </c>
      <c r="H33" s="455">
        <f t="shared" si="14"/>
        <v>186186.97697122948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1270498.9632705792</v>
      </c>
      <c r="E34" s="484">
        <f t="shared" si="11"/>
        <v>46695.738095238092</v>
      </c>
      <c r="F34" s="485">
        <f t="shared" si="12"/>
        <v>1223803.2251753411</v>
      </c>
      <c r="G34" s="486">
        <f t="shared" si="13"/>
        <v>181152.65127329272</v>
      </c>
      <c r="H34" s="455">
        <f t="shared" si="14"/>
        <v>181152.65127329272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1223803.2251753411</v>
      </c>
      <c r="E35" s="484">
        <f t="shared" si="11"/>
        <v>46695.738095238092</v>
      </c>
      <c r="F35" s="485">
        <f t="shared" si="12"/>
        <v>1177107.487080103</v>
      </c>
      <c r="G35" s="486">
        <f t="shared" si="13"/>
        <v>176118.32557535596</v>
      </c>
      <c r="H35" s="455">
        <f t="shared" si="14"/>
        <v>176118.32557535596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1177107.487080103</v>
      </c>
      <c r="E36" s="484">
        <f t="shared" si="11"/>
        <v>46695.738095238092</v>
      </c>
      <c r="F36" s="485">
        <f t="shared" si="12"/>
        <v>1130411.7489848649</v>
      </c>
      <c r="G36" s="486">
        <f t="shared" si="13"/>
        <v>171083.99987741918</v>
      </c>
      <c r="H36" s="455">
        <f t="shared" si="14"/>
        <v>171083.99987741918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1130411.7489848649</v>
      </c>
      <c r="E37" s="484">
        <f t="shared" si="11"/>
        <v>46695.738095238092</v>
      </c>
      <c r="F37" s="485">
        <f t="shared" si="12"/>
        <v>1083716.0108896268</v>
      </c>
      <c r="G37" s="486">
        <f t="shared" si="13"/>
        <v>166049.67417948245</v>
      </c>
      <c r="H37" s="455">
        <f t="shared" si="14"/>
        <v>166049.67417948245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1083716.0108896268</v>
      </c>
      <c r="E38" s="484">
        <f t="shared" si="11"/>
        <v>46695.738095238092</v>
      </c>
      <c r="F38" s="485">
        <f t="shared" si="12"/>
        <v>1037020.2727943887</v>
      </c>
      <c r="G38" s="486">
        <f t="shared" si="13"/>
        <v>161015.34848154563</v>
      </c>
      <c r="H38" s="455">
        <f t="shared" si="14"/>
        <v>161015.34848154563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1037020.2727943887</v>
      </c>
      <c r="E39" s="484">
        <f t="shared" si="11"/>
        <v>46695.738095238092</v>
      </c>
      <c r="F39" s="485">
        <f t="shared" si="12"/>
        <v>990324.53469915059</v>
      </c>
      <c r="G39" s="486">
        <f t="shared" si="13"/>
        <v>155981.02278360887</v>
      </c>
      <c r="H39" s="455">
        <f t="shared" si="14"/>
        <v>155981.02278360887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990324.53469915059</v>
      </c>
      <c r="E40" s="484">
        <f t="shared" si="11"/>
        <v>46695.738095238092</v>
      </c>
      <c r="F40" s="485">
        <f t="shared" si="12"/>
        <v>943628.79660391249</v>
      </c>
      <c r="G40" s="486">
        <f t="shared" si="13"/>
        <v>150946.69708567212</v>
      </c>
      <c r="H40" s="455">
        <f t="shared" si="14"/>
        <v>150946.69708567212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943628.79660391249</v>
      </c>
      <c r="E41" s="484">
        <f t="shared" si="11"/>
        <v>46695.738095238092</v>
      </c>
      <c r="F41" s="485">
        <f t="shared" si="12"/>
        <v>896933.05850867438</v>
      </c>
      <c r="G41" s="486">
        <f t="shared" si="13"/>
        <v>145912.37138773536</v>
      </c>
      <c r="H41" s="455">
        <f t="shared" si="14"/>
        <v>145912.37138773536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896933.05850867438</v>
      </c>
      <c r="E42" s="484">
        <f t="shared" si="11"/>
        <v>46695.738095238092</v>
      </c>
      <c r="F42" s="485">
        <f t="shared" si="12"/>
        <v>850237.32041343627</v>
      </c>
      <c r="G42" s="486">
        <f t="shared" si="13"/>
        <v>140878.0456897986</v>
      </c>
      <c r="H42" s="455">
        <f t="shared" si="14"/>
        <v>140878.0456897986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850237.32041343627</v>
      </c>
      <c r="E43" s="484">
        <f t="shared" si="11"/>
        <v>46695.738095238092</v>
      </c>
      <c r="F43" s="485">
        <f t="shared" si="12"/>
        <v>803541.58231819817</v>
      </c>
      <c r="G43" s="486">
        <f t="shared" si="13"/>
        <v>135843.71999186181</v>
      </c>
      <c r="H43" s="455">
        <f t="shared" si="14"/>
        <v>135843.71999186181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803541.58231819817</v>
      </c>
      <c r="E44" s="484">
        <f t="shared" si="11"/>
        <v>46695.738095238092</v>
      </c>
      <c r="F44" s="485">
        <f t="shared" si="12"/>
        <v>756845.84422296006</v>
      </c>
      <c r="G44" s="486">
        <f t="shared" si="13"/>
        <v>130809.39429392504</v>
      </c>
      <c r="H44" s="455">
        <f t="shared" si="14"/>
        <v>130809.39429392504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756845.84422296006</v>
      </c>
      <c r="E45" s="484">
        <f t="shared" si="11"/>
        <v>46695.738095238092</v>
      </c>
      <c r="F45" s="485">
        <f t="shared" si="12"/>
        <v>710150.10612772196</v>
      </c>
      <c r="G45" s="486">
        <f t="shared" si="13"/>
        <v>125775.06859598827</v>
      </c>
      <c r="H45" s="455">
        <f t="shared" si="14"/>
        <v>125775.06859598827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710150.10612772196</v>
      </c>
      <c r="E46" s="484">
        <f t="shared" si="11"/>
        <v>46695.738095238092</v>
      </c>
      <c r="F46" s="485">
        <f t="shared" si="12"/>
        <v>663454.36803248385</v>
      </c>
      <c r="G46" s="486">
        <f t="shared" si="13"/>
        <v>120740.74289805151</v>
      </c>
      <c r="H46" s="455">
        <f t="shared" si="14"/>
        <v>120740.74289805151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663454.36803248385</v>
      </c>
      <c r="E47" s="484">
        <f t="shared" si="11"/>
        <v>46695.738095238092</v>
      </c>
      <c r="F47" s="485">
        <f t="shared" si="12"/>
        <v>616758.62993724574</v>
      </c>
      <c r="G47" s="486">
        <f t="shared" si="13"/>
        <v>115706.41720011474</v>
      </c>
      <c r="H47" s="455">
        <f t="shared" si="14"/>
        <v>115706.41720011474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616758.62993724574</v>
      </c>
      <c r="E48" s="484">
        <f t="shared" si="11"/>
        <v>46695.738095238092</v>
      </c>
      <c r="F48" s="485">
        <f t="shared" si="12"/>
        <v>570062.89184200764</v>
      </c>
      <c r="G48" s="486">
        <f t="shared" si="13"/>
        <v>110672.09150217797</v>
      </c>
      <c r="H48" s="455">
        <f t="shared" si="14"/>
        <v>110672.09150217797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570062.89184200764</v>
      </c>
      <c r="E49" s="484">
        <f t="shared" si="11"/>
        <v>46695.738095238092</v>
      </c>
      <c r="F49" s="485">
        <f t="shared" si="12"/>
        <v>523367.15374676953</v>
      </c>
      <c r="G49" s="486">
        <f t="shared" si="13"/>
        <v>105637.76580424121</v>
      </c>
      <c r="H49" s="455">
        <f t="shared" si="14"/>
        <v>105637.76580424121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3"/>
    </row>
    <row r="50" spans="2:16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523367.15374676953</v>
      </c>
      <c r="E50" s="484">
        <f t="shared" si="11"/>
        <v>46695.738095238092</v>
      </c>
      <c r="F50" s="485">
        <f t="shared" si="12"/>
        <v>476671.41565153142</v>
      </c>
      <c r="G50" s="486">
        <f t="shared" si="13"/>
        <v>100603.44010630444</v>
      </c>
      <c r="H50" s="455">
        <f t="shared" si="14"/>
        <v>100603.44010630444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3"/>
    </row>
    <row r="51" spans="2:16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476671.41565153142</v>
      </c>
      <c r="E51" s="484">
        <f t="shared" si="11"/>
        <v>46695.738095238092</v>
      </c>
      <c r="F51" s="485">
        <f t="shared" si="12"/>
        <v>429975.67755629332</v>
      </c>
      <c r="G51" s="486">
        <f t="shared" si="13"/>
        <v>95569.114408367663</v>
      </c>
      <c r="H51" s="455">
        <f t="shared" si="14"/>
        <v>95569.114408367663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3"/>
    </row>
    <row r="52" spans="2:16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429975.67755629332</v>
      </c>
      <c r="E52" s="484">
        <f t="shared" si="11"/>
        <v>46695.738095238092</v>
      </c>
      <c r="F52" s="485">
        <f t="shared" si="12"/>
        <v>383279.93946105521</v>
      </c>
      <c r="G52" s="486">
        <f t="shared" si="13"/>
        <v>90534.788710430905</v>
      </c>
      <c r="H52" s="455">
        <f t="shared" si="14"/>
        <v>90534.788710430905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3"/>
    </row>
    <row r="53" spans="2:16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383279.93946105521</v>
      </c>
      <c r="E53" s="484">
        <f t="shared" si="11"/>
        <v>46695.738095238092</v>
      </c>
      <c r="F53" s="485">
        <f t="shared" si="12"/>
        <v>336584.20136581711</v>
      </c>
      <c r="G53" s="486">
        <f t="shared" si="13"/>
        <v>85500.463012494118</v>
      </c>
      <c r="H53" s="455">
        <f t="shared" si="14"/>
        <v>85500.463012494118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3"/>
    </row>
    <row r="54" spans="2:16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336584.20136581711</v>
      </c>
      <c r="E54" s="484">
        <f t="shared" si="11"/>
        <v>46695.738095238092</v>
      </c>
      <c r="F54" s="485">
        <f t="shared" si="12"/>
        <v>289888.463270579</v>
      </c>
      <c r="G54" s="486">
        <f t="shared" si="13"/>
        <v>80466.13731455736</v>
      </c>
      <c r="H54" s="455">
        <f t="shared" si="14"/>
        <v>80466.13731455736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3"/>
    </row>
    <row r="55" spans="2:16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289888.463270579</v>
      </c>
      <c r="E55" s="484">
        <f t="shared" si="11"/>
        <v>46695.738095238092</v>
      </c>
      <c r="F55" s="485">
        <f t="shared" si="12"/>
        <v>243192.72517534089</v>
      </c>
      <c r="G55" s="486">
        <f t="shared" si="13"/>
        <v>75431.811616620587</v>
      </c>
      <c r="H55" s="455">
        <f t="shared" si="14"/>
        <v>75431.811616620587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3"/>
    </row>
    <row r="56" spans="2:16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243192.72517534089</v>
      </c>
      <c r="E56" s="484">
        <f t="shared" si="11"/>
        <v>46695.738095238092</v>
      </c>
      <c r="F56" s="485">
        <f t="shared" si="12"/>
        <v>196496.98708010279</v>
      </c>
      <c r="G56" s="486">
        <f t="shared" si="13"/>
        <v>70397.485918683815</v>
      </c>
      <c r="H56" s="455">
        <f t="shared" si="14"/>
        <v>70397.485918683815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3"/>
    </row>
    <row r="57" spans="2:16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196496.98708010279</v>
      </c>
      <c r="E57" s="484">
        <f t="shared" si="11"/>
        <v>46695.738095238092</v>
      </c>
      <c r="F57" s="485">
        <f t="shared" si="12"/>
        <v>149801.24898486468</v>
      </c>
      <c r="G57" s="486">
        <f t="shared" si="13"/>
        <v>65363.160220747057</v>
      </c>
      <c r="H57" s="455">
        <f t="shared" si="14"/>
        <v>65363.160220747057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3"/>
    </row>
    <row r="58" spans="2:16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149801.24898486468</v>
      </c>
      <c r="E58" s="484">
        <f t="shared" si="11"/>
        <v>46695.738095238092</v>
      </c>
      <c r="F58" s="485">
        <f t="shared" si="12"/>
        <v>103105.51088962659</v>
      </c>
      <c r="G58" s="486">
        <f t="shared" si="13"/>
        <v>60328.834522810284</v>
      </c>
      <c r="H58" s="455">
        <f t="shared" si="14"/>
        <v>60328.834522810284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3"/>
    </row>
    <row r="59" spans="2:16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103105.51088962659</v>
      </c>
      <c r="E59" s="484">
        <f t="shared" si="11"/>
        <v>46695.738095238092</v>
      </c>
      <c r="F59" s="485">
        <f t="shared" si="12"/>
        <v>56409.772794388497</v>
      </c>
      <c r="G59" s="486">
        <f t="shared" si="13"/>
        <v>55294.508824873519</v>
      </c>
      <c r="H59" s="455">
        <f t="shared" si="14"/>
        <v>55294.508824873519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3"/>
    </row>
    <row r="60" spans="2:16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56409.772794388497</v>
      </c>
      <c r="E60" s="484">
        <f t="shared" si="11"/>
        <v>46695.738095238092</v>
      </c>
      <c r="F60" s="485">
        <f t="shared" si="12"/>
        <v>9714.0346991504048</v>
      </c>
      <c r="G60" s="486">
        <f t="shared" si="13"/>
        <v>50260.183126936754</v>
      </c>
      <c r="H60" s="455">
        <f t="shared" si="14"/>
        <v>50260.183126936754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3"/>
    </row>
    <row r="61" spans="2:16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9714.0346991504048</v>
      </c>
      <c r="E61" s="484">
        <f t="shared" si="11"/>
        <v>9714.0346991504048</v>
      </c>
      <c r="F61" s="485">
        <f t="shared" si="12"/>
        <v>0</v>
      </c>
      <c r="G61" s="486">
        <f t="shared" si="13"/>
        <v>10237.675790515543</v>
      </c>
      <c r="H61" s="455">
        <f t="shared" si="14"/>
        <v>10237.675790515543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3"/>
    </row>
    <row r="62" spans="2:16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3"/>
    </row>
    <row r="63" spans="2:16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3"/>
    </row>
    <row r="64" spans="2:16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3"/>
    </row>
    <row r="65" spans="2:16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3"/>
    </row>
    <row r="66" spans="2:16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3"/>
    </row>
    <row r="67" spans="2:16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3"/>
    </row>
    <row r="68" spans="2:16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3"/>
    </row>
    <row r="69" spans="2:16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3"/>
    </row>
    <row r="70" spans="2:16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3"/>
    </row>
    <row r="71" spans="2:16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3"/>
    </row>
    <row r="72" spans="2:16" ht="13.5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3"/>
    </row>
    <row r="73" spans="2:16">
      <c r="C73" s="347" t="s">
        <v>77</v>
      </c>
      <c r="D73" s="348"/>
      <c r="E73" s="348">
        <f>SUM(E17:E72)</f>
        <v>1961220.9999999998</v>
      </c>
      <c r="F73" s="348"/>
      <c r="G73" s="348">
        <f>SUM(G17:G72)</f>
        <v>6455567.0872331709</v>
      </c>
      <c r="H73" s="348">
        <f>SUM(H17:H72)</f>
        <v>6455567.0872331709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20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241564.55964853393</v>
      </c>
      <c r="N87" s="508">
        <f>IF(J92&lt;D11,0,VLOOKUP(J92,C17:O72,11))</f>
        <v>241564.55964853393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248043.4948332576</v>
      </c>
      <c r="N88" s="512">
        <f>IF(J92&lt;D11,0,VLOOKUP(J92,C99:P154,7))</f>
        <v>248043.4948332576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Sayre 138 kV Capacitor Bank Addition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6478.9351847236685</v>
      </c>
      <c r="N89" s="517">
        <f>+N88-N87</f>
        <v>6478.9351847236685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TP2015202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1961221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50288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0</v>
      </c>
      <c r="F99" s="584">
        <v>1140000</v>
      </c>
      <c r="G99" s="608">
        <v>570000</v>
      </c>
      <c r="H99" s="587">
        <v>72305.937255510624</v>
      </c>
      <c r="I99" s="607">
        <v>72305.937255510624</v>
      </c>
      <c r="J99" s="478">
        <f t="shared" ref="J99:J130" si="15">+I99-H99</f>
        <v>0</v>
      </c>
      <c r="K99" s="478"/>
      <c r="L99" s="477">
        <f>+H99</f>
        <v>72305.937255510624</v>
      </c>
      <c r="M99" s="477">
        <f t="shared" ref="M99:M130" si="16">IF(L99&lt;&gt;0,+H99-L99,0)</f>
        <v>0</v>
      </c>
      <c r="N99" s="477">
        <f>+I99</f>
        <v>72305.937255510624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1961221</v>
      </c>
      <c r="E100" s="585">
        <v>47835</v>
      </c>
      <c r="F100" s="586">
        <v>1913386</v>
      </c>
      <c r="G100" s="586">
        <v>1937303.5</v>
      </c>
      <c r="H100" s="606">
        <v>247598.16362509641</v>
      </c>
      <c r="I100" s="607">
        <v>247598.16362509641</v>
      </c>
      <c r="J100" s="478">
        <f t="shared" si="15"/>
        <v>0</v>
      </c>
      <c r="K100" s="478"/>
      <c r="L100" s="476">
        <f>H100</f>
        <v>247598.16362509641</v>
      </c>
      <c r="M100" s="349">
        <f>IF(L100&lt;&gt;0,+H100-L100,0)</f>
        <v>0</v>
      </c>
      <c r="N100" s="476">
        <f>I100</f>
        <v>247598.16362509641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9">IF(D101=F100,"","IU")</f>
        <v/>
      </c>
      <c r="C101" s="472">
        <f>IF(D93="","-",+C100+1)</f>
        <v>2020</v>
      </c>
      <c r="D101" s="584">
        <v>1913386</v>
      </c>
      <c r="E101" s="585">
        <v>45610</v>
      </c>
      <c r="F101" s="586">
        <v>1867776</v>
      </c>
      <c r="G101" s="586">
        <v>1890581</v>
      </c>
      <c r="H101" s="606">
        <v>263588.79157611891</v>
      </c>
      <c r="I101" s="607">
        <v>263588.79157611891</v>
      </c>
      <c r="J101" s="478">
        <f t="shared" si="15"/>
        <v>0</v>
      </c>
      <c r="K101" s="478"/>
      <c r="L101" s="476">
        <f>H101</f>
        <v>263588.79157611891</v>
      </c>
      <c r="M101" s="349">
        <f>IF(L101&lt;&gt;0,+H101-L101,0)</f>
        <v>0</v>
      </c>
      <c r="N101" s="476">
        <f>I101</f>
        <v>263588.79157611891</v>
      </c>
      <c r="O101" s="478">
        <f t="shared" si="17"/>
        <v>0</v>
      </c>
      <c r="P101" s="478">
        <f t="shared" si="18"/>
        <v>0</v>
      </c>
    </row>
    <row r="102" spans="1:16">
      <c r="B102" s="160" t="str">
        <f t="shared" si="19"/>
        <v/>
      </c>
      <c r="C102" s="472">
        <f>IF(D93="","-",+C101+1)</f>
        <v>2021</v>
      </c>
      <c r="D102" s="584">
        <v>1867776</v>
      </c>
      <c r="E102" s="585">
        <v>47835</v>
      </c>
      <c r="F102" s="586">
        <v>1819941</v>
      </c>
      <c r="G102" s="586">
        <v>1843858.5</v>
      </c>
      <c r="H102" s="606">
        <v>257652.80866980529</v>
      </c>
      <c r="I102" s="607">
        <v>257652.80866980529</v>
      </c>
      <c r="J102" s="478">
        <f t="shared" si="15"/>
        <v>0</v>
      </c>
      <c r="K102" s="478"/>
      <c r="L102" s="476">
        <f>H102</f>
        <v>257652.80866980529</v>
      </c>
      <c r="M102" s="349">
        <f>IF(L102&lt;&gt;0,+H102-L102,0)</f>
        <v>0</v>
      </c>
      <c r="N102" s="476">
        <f>I102</f>
        <v>257652.80866980529</v>
      </c>
      <c r="O102" s="478">
        <f t="shared" si="17"/>
        <v>0</v>
      </c>
      <c r="P102" s="478">
        <f t="shared" si="18"/>
        <v>0</v>
      </c>
    </row>
    <row r="103" spans="1:16">
      <c r="B103" s="160" t="str">
        <f t="shared" si="19"/>
        <v/>
      </c>
      <c r="C103" s="472">
        <f>IF(D93="","-",+C102+1)</f>
        <v>2022</v>
      </c>
      <c r="D103" s="347">
        <f>IF(F102+SUM(E$99:E102)=D$92,F102,D$92-SUM(E$99:E102))</f>
        <v>1819941</v>
      </c>
      <c r="E103" s="484">
        <f t="shared" ref="E103:E154" si="20">IF(+J$96&lt;F102,J$96,D103)</f>
        <v>50288</v>
      </c>
      <c r="F103" s="485">
        <f t="shared" ref="F103:F154" si="21">+D103-E103</f>
        <v>1769653</v>
      </c>
      <c r="G103" s="485">
        <f t="shared" ref="G103:G154" si="22">+(F103+D103)/2</f>
        <v>1794797</v>
      </c>
      <c r="H103" s="486">
        <f t="shared" ref="H103:H153" si="23">(D103+F103)/2*J$94+E103</f>
        <v>248043.4948332576</v>
      </c>
      <c r="I103" s="542">
        <f t="shared" ref="I103:I153" si="24">+J$95*G103+E103</f>
        <v>248043.4948332576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>
      <c r="B104" s="160" t="str">
        <f t="shared" si="19"/>
        <v/>
      </c>
      <c r="C104" s="472">
        <f>IF(D93="","-",+C103+1)</f>
        <v>2023</v>
      </c>
      <c r="D104" s="347">
        <f>IF(F103+SUM(E$99:E103)=D$92,F103,D$92-SUM(E$99:E103))</f>
        <v>1769653</v>
      </c>
      <c r="E104" s="484">
        <f t="shared" si="20"/>
        <v>50288</v>
      </c>
      <c r="F104" s="485">
        <f t="shared" si="21"/>
        <v>1719365</v>
      </c>
      <c r="G104" s="485">
        <f t="shared" si="22"/>
        <v>1744509</v>
      </c>
      <c r="H104" s="486">
        <f t="shared" si="23"/>
        <v>242502.62958544694</v>
      </c>
      <c r="I104" s="542">
        <f t="shared" si="24"/>
        <v>242502.62958544694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>
      <c r="B105" s="160" t="str">
        <f t="shared" si="19"/>
        <v/>
      </c>
      <c r="C105" s="472">
        <f>IF(D93="","-",+C104+1)</f>
        <v>2024</v>
      </c>
      <c r="D105" s="347">
        <f>IF(F104+SUM(E$99:E104)=D$92,F104,D$92-SUM(E$99:E104))</f>
        <v>1719365</v>
      </c>
      <c r="E105" s="484">
        <f t="shared" si="20"/>
        <v>50288</v>
      </c>
      <c r="F105" s="485">
        <f t="shared" si="21"/>
        <v>1669077</v>
      </c>
      <c r="G105" s="485">
        <f t="shared" si="22"/>
        <v>1694221</v>
      </c>
      <c r="H105" s="486">
        <f t="shared" si="23"/>
        <v>236961.76433763624</v>
      </c>
      <c r="I105" s="542">
        <f t="shared" si="24"/>
        <v>236961.76433763624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>
      <c r="B106" s="160" t="str">
        <f t="shared" si="19"/>
        <v/>
      </c>
      <c r="C106" s="472">
        <f>IF(D93="","-",+C105+1)</f>
        <v>2025</v>
      </c>
      <c r="D106" s="347">
        <f>IF(F105+SUM(E$99:E105)=D$92,F105,D$92-SUM(E$99:E105))</f>
        <v>1669077</v>
      </c>
      <c r="E106" s="484">
        <f t="shared" si="20"/>
        <v>50288</v>
      </c>
      <c r="F106" s="485">
        <f t="shared" si="21"/>
        <v>1618789</v>
      </c>
      <c r="G106" s="485">
        <f t="shared" si="22"/>
        <v>1643933</v>
      </c>
      <c r="H106" s="486">
        <f t="shared" si="23"/>
        <v>231420.89908982557</v>
      </c>
      <c r="I106" s="542">
        <f t="shared" si="24"/>
        <v>231420.89908982557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>
      <c r="B107" s="160" t="str">
        <f t="shared" si="19"/>
        <v/>
      </c>
      <c r="C107" s="472">
        <f>IF(D93="","-",+C106+1)</f>
        <v>2026</v>
      </c>
      <c r="D107" s="347">
        <f>IF(F106+SUM(E$99:E106)=D$92,F106,D$92-SUM(E$99:E106))</f>
        <v>1618789</v>
      </c>
      <c r="E107" s="484">
        <f t="shared" si="20"/>
        <v>50288</v>
      </c>
      <c r="F107" s="485">
        <f t="shared" si="21"/>
        <v>1568501</v>
      </c>
      <c r="G107" s="485">
        <f t="shared" si="22"/>
        <v>1593645</v>
      </c>
      <c r="H107" s="486">
        <f t="shared" si="23"/>
        <v>225880.03384201491</v>
      </c>
      <c r="I107" s="542">
        <f t="shared" si="24"/>
        <v>225880.03384201491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>
      <c r="B108" s="160" t="str">
        <f t="shared" si="19"/>
        <v/>
      </c>
      <c r="C108" s="472">
        <f>IF(D93="","-",+C107+1)</f>
        <v>2027</v>
      </c>
      <c r="D108" s="347">
        <f>IF(F107+SUM(E$99:E107)=D$92,F107,D$92-SUM(E$99:E107))</f>
        <v>1568501</v>
      </c>
      <c r="E108" s="484">
        <f t="shared" si="20"/>
        <v>50288</v>
      </c>
      <c r="F108" s="485">
        <f t="shared" si="21"/>
        <v>1518213</v>
      </c>
      <c r="G108" s="485">
        <f t="shared" si="22"/>
        <v>1543357</v>
      </c>
      <c r="H108" s="486">
        <f t="shared" si="23"/>
        <v>220339.16859420421</v>
      </c>
      <c r="I108" s="542">
        <f t="shared" si="24"/>
        <v>220339.16859420421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>
      <c r="B109" s="160" t="str">
        <f t="shared" si="19"/>
        <v/>
      </c>
      <c r="C109" s="472">
        <f>IF(D93="","-",+C108+1)</f>
        <v>2028</v>
      </c>
      <c r="D109" s="347">
        <f>IF(F108+SUM(E$99:E108)=D$92,F108,D$92-SUM(E$99:E108))</f>
        <v>1518213</v>
      </c>
      <c r="E109" s="484">
        <f t="shared" si="20"/>
        <v>50288</v>
      </c>
      <c r="F109" s="485">
        <f t="shared" si="21"/>
        <v>1467925</v>
      </c>
      <c r="G109" s="485">
        <f t="shared" si="22"/>
        <v>1493069</v>
      </c>
      <c r="H109" s="486">
        <f t="shared" si="23"/>
        <v>214798.30334639354</v>
      </c>
      <c r="I109" s="542">
        <f t="shared" si="24"/>
        <v>214798.30334639354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>
      <c r="B110" s="160" t="str">
        <f t="shared" si="19"/>
        <v/>
      </c>
      <c r="C110" s="472">
        <f>IF(D93="","-",+C109+1)</f>
        <v>2029</v>
      </c>
      <c r="D110" s="347">
        <f>IF(F109+SUM(E$99:E109)=D$92,F109,D$92-SUM(E$99:E109))</f>
        <v>1467925</v>
      </c>
      <c r="E110" s="484">
        <f t="shared" si="20"/>
        <v>50288</v>
      </c>
      <c r="F110" s="485">
        <f t="shared" si="21"/>
        <v>1417637</v>
      </c>
      <c r="G110" s="485">
        <f t="shared" si="22"/>
        <v>1442781</v>
      </c>
      <c r="H110" s="486">
        <f t="shared" si="23"/>
        <v>209257.43809858288</v>
      </c>
      <c r="I110" s="542">
        <f t="shared" si="24"/>
        <v>209257.43809858288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>
      <c r="B111" s="160" t="str">
        <f t="shared" si="19"/>
        <v/>
      </c>
      <c r="C111" s="472">
        <f>IF(D93="","-",+C110+1)</f>
        <v>2030</v>
      </c>
      <c r="D111" s="347">
        <f>IF(F110+SUM(E$99:E110)=D$92,F110,D$92-SUM(E$99:E110))</f>
        <v>1417637</v>
      </c>
      <c r="E111" s="484">
        <f t="shared" si="20"/>
        <v>50288</v>
      </c>
      <c r="F111" s="485">
        <f t="shared" si="21"/>
        <v>1367349</v>
      </c>
      <c r="G111" s="485">
        <f t="shared" si="22"/>
        <v>1392493</v>
      </c>
      <c r="H111" s="486">
        <f t="shared" si="23"/>
        <v>203716.57285077218</v>
      </c>
      <c r="I111" s="542">
        <f t="shared" si="24"/>
        <v>203716.57285077218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>
      <c r="B112" s="160" t="str">
        <f t="shared" si="19"/>
        <v/>
      </c>
      <c r="C112" s="472">
        <f>IF(D93="","-",+C111+1)</f>
        <v>2031</v>
      </c>
      <c r="D112" s="347">
        <f>IF(F111+SUM(E$99:E111)=D$92,F111,D$92-SUM(E$99:E111))</f>
        <v>1367349</v>
      </c>
      <c r="E112" s="484">
        <f t="shared" si="20"/>
        <v>50288</v>
      </c>
      <c r="F112" s="485">
        <f t="shared" si="21"/>
        <v>1317061</v>
      </c>
      <c r="G112" s="485">
        <f t="shared" si="22"/>
        <v>1342205</v>
      </c>
      <c r="H112" s="486">
        <f t="shared" si="23"/>
        <v>198175.70760296151</v>
      </c>
      <c r="I112" s="542">
        <f t="shared" si="24"/>
        <v>198175.70760296151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>
      <c r="B113" s="160" t="str">
        <f t="shared" si="19"/>
        <v/>
      </c>
      <c r="C113" s="472">
        <f>IF(D93="","-",+C112+1)</f>
        <v>2032</v>
      </c>
      <c r="D113" s="347">
        <f>IF(F112+SUM(E$99:E112)=D$92,F112,D$92-SUM(E$99:E112))</f>
        <v>1317061</v>
      </c>
      <c r="E113" s="484">
        <f t="shared" si="20"/>
        <v>50288</v>
      </c>
      <c r="F113" s="485">
        <f t="shared" si="21"/>
        <v>1266773</v>
      </c>
      <c r="G113" s="485">
        <f t="shared" si="22"/>
        <v>1291917</v>
      </c>
      <c r="H113" s="486">
        <f t="shared" si="23"/>
        <v>192634.84235515085</v>
      </c>
      <c r="I113" s="542">
        <f t="shared" si="24"/>
        <v>192634.84235515085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>
      <c r="B114" s="160" t="str">
        <f t="shared" si="19"/>
        <v/>
      </c>
      <c r="C114" s="472">
        <f>IF(D93="","-",+C113+1)</f>
        <v>2033</v>
      </c>
      <c r="D114" s="347">
        <f>IF(F113+SUM(E$99:E113)=D$92,F113,D$92-SUM(E$99:E113))</f>
        <v>1266773</v>
      </c>
      <c r="E114" s="484">
        <f t="shared" si="20"/>
        <v>50288</v>
      </c>
      <c r="F114" s="485">
        <f t="shared" si="21"/>
        <v>1216485</v>
      </c>
      <c r="G114" s="485">
        <f t="shared" si="22"/>
        <v>1241629</v>
      </c>
      <c r="H114" s="486">
        <f t="shared" si="23"/>
        <v>187093.97710734015</v>
      </c>
      <c r="I114" s="542">
        <f t="shared" si="24"/>
        <v>187093.97710734015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>
      <c r="B115" s="160" t="str">
        <f t="shared" si="19"/>
        <v/>
      </c>
      <c r="C115" s="472">
        <f>IF(D93="","-",+C114+1)</f>
        <v>2034</v>
      </c>
      <c r="D115" s="347">
        <f>IF(F114+SUM(E$99:E114)=D$92,F114,D$92-SUM(E$99:E114))</f>
        <v>1216485</v>
      </c>
      <c r="E115" s="484">
        <f t="shared" si="20"/>
        <v>50288</v>
      </c>
      <c r="F115" s="485">
        <f t="shared" si="21"/>
        <v>1166197</v>
      </c>
      <c r="G115" s="485">
        <f t="shared" si="22"/>
        <v>1191341</v>
      </c>
      <c r="H115" s="486">
        <f t="shared" si="23"/>
        <v>181553.11185952948</v>
      </c>
      <c r="I115" s="542">
        <f t="shared" si="24"/>
        <v>181553.11185952948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>
      <c r="B116" s="160" t="str">
        <f t="shared" si="19"/>
        <v/>
      </c>
      <c r="C116" s="472">
        <f>IF(D93="","-",+C115+1)</f>
        <v>2035</v>
      </c>
      <c r="D116" s="347">
        <f>IF(F115+SUM(E$99:E115)=D$92,F115,D$92-SUM(E$99:E115))</f>
        <v>1166197</v>
      </c>
      <c r="E116" s="484">
        <f t="shared" si="20"/>
        <v>50288</v>
      </c>
      <c r="F116" s="485">
        <f t="shared" si="21"/>
        <v>1115909</v>
      </c>
      <c r="G116" s="485">
        <f t="shared" si="22"/>
        <v>1141053</v>
      </c>
      <c r="H116" s="486">
        <f t="shared" si="23"/>
        <v>176012.24661171882</v>
      </c>
      <c r="I116" s="542">
        <f t="shared" si="24"/>
        <v>176012.24661171882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>
      <c r="B117" s="160" t="str">
        <f t="shared" si="19"/>
        <v/>
      </c>
      <c r="C117" s="472">
        <f>IF(D93="","-",+C116+1)</f>
        <v>2036</v>
      </c>
      <c r="D117" s="347">
        <f>IF(F116+SUM(E$99:E116)=D$92,F116,D$92-SUM(E$99:E116))</f>
        <v>1115909</v>
      </c>
      <c r="E117" s="484">
        <f t="shared" si="20"/>
        <v>50288</v>
      </c>
      <c r="F117" s="485">
        <f t="shared" si="21"/>
        <v>1065621</v>
      </c>
      <c r="G117" s="485">
        <f t="shared" si="22"/>
        <v>1090765</v>
      </c>
      <c r="H117" s="486">
        <f t="shared" si="23"/>
        <v>170471.38136390812</v>
      </c>
      <c r="I117" s="542">
        <f t="shared" si="24"/>
        <v>170471.38136390812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>
      <c r="B118" s="160" t="str">
        <f t="shared" si="19"/>
        <v/>
      </c>
      <c r="C118" s="472">
        <f>IF(D93="","-",+C117+1)</f>
        <v>2037</v>
      </c>
      <c r="D118" s="347">
        <f>IF(F117+SUM(E$99:E117)=D$92,F117,D$92-SUM(E$99:E117))</f>
        <v>1065621</v>
      </c>
      <c r="E118" s="484">
        <f t="shared" si="20"/>
        <v>50288</v>
      </c>
      <c r="F118" s="485">
        <f t="shared" si="21"/>
        <v>1015333</v>
      </c>
      <c r="G118" s="485">
        <f t="shared" si="22"/>
        <v>1040477</v>
      </c>
      <c r="H118" s="486">
        <f t="shared" si="23"/>
        <v>164930.51611609745</v>
      </c>
      <c r="I118" s="542">
        <f t="shared" si="24"/>
        <v>164930.51611609745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>
      <c r="B119" s="160" t="str">
        <f t="shared" si="19"/>
        <v/>
      </c>
      <c r="C119" s="472">
        <f>IF(D93="","-",+C118+1)</f>
        <v>2038</v>
      </c>
      <c r="D119" s="347">
        <f>IF(F118+SUM(E$99:E118)=D$92,F118,D$92-SUM(E$99:E118))</f>
        <v>1015333</v>
      </c>
      <c r="E119" s="484">
        <f t="shared" si="20"/>
        <v>50288</v>
      </c>
      <c r="F119" s="485">
        <f t="shared" si="21"/>
        <v>965045</v>
      </c>
      <c r="G119" s="485">
        <f t="shared" si="22"/>
        <v>990189</v>
      </c>
      <c r="H119" s="486">
        <f t="shared" si="23"/>
        <v>159389.65086828679</v>
      </c>
      <c r="I119" s="542">
        <f t="shared" si="24"/>
        <v>159389.65086828679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>
      <c r="B120" s="160" t="str">
        <f t="shared" si="19"/>
        <v/>
      </c>
      <c r="C120" s="472">
        <f>IF(D93="","-",+C119+1)</f>
        <v>2039</v>
      </c>
      <c r="D120" s="347">
        <f>IF(F119+SUM(E$99:E119)=D$92,F119,D$92-SUM(E$99:E119))</f>
        <v>965045</v>
      </c>
      <c r="E120" s="484">
        <f t="shared" si="20"/>
        <v>50288</v>
      </c>
      <c r="F120" s="485">
        <f t="shared" si="21"/>
        <v>914757</v>
      </c>
      <c r="G120" s="485">
        <f t="shared" si="22"/>
        <v>939901</v>
      </c>
      <c r="H120" s="486">
        <f t="shared" si="23"/>
        <v>153848.78562047612</v>
      </c>
      <c r="I120" s="542">
        <f t="shared" si="24"/>
        <v>153848.78562047612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>
      <c r="B121" s="160" t="str">
        <f t="shared" si="19"/>
        <v/>
      </c>
      <c r="C121" s="472">
        <f>IF(D93="","-",+C120+1)</f>
        <v>2040</v>
      </c>
      <c r="D121" s="347">
        <f>IF(F120+SUM(E$99:E120)=D$92,F120,D$92-SUM(E$99:E120))</f>
        <v>914757</v>
      </c>
      <c r="E121" s="484">
        <f t="shared" si="20"/>
        <v>50288</v>
      </c>
      <c r="F121" s="485">
        <f t="shared" si="21"/>
        <v>864469</v>
      </c>
      <c r="G121" s="485">
        <f t="shared" si="22"/>
        <v>889613</v>
      </c>
      <c r="H121" s="486">
        <f t="shared" si="23"/>
        <v>148307.92037266542</v>
      </c>
      <c r="I121" s="542">
        <f t="shared" si="24"/>
        <v>148307.92037266542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>
      <c r="B122" s="160" t="str">
        <f t="shared" si="19"/>
        <v/>
      </c>
      <c r="C122" s="472">
        <f>IF(D93="","-",+C121+1)</f>
        <v>2041</v>
      </c>
      <c r="D122" s="347">
        <f>IF(F121+SUM(E$99:E121)=D$92,F121,D$92-SUM(E$99:E121))</f>
        <v>864469</v>
      </c>
      <c r="E122" s="484">
        <f t="shared" si="20"/>
        <v>50288</v>
      </c>
      <c r="F122" s="485">
        <f t="shared" si="21"/>
        <v>814181</v>
      </c>
      <c r="G122" s="485">
        <f t="shared" si="22"/>
        <v>839325</v>
      </c>
      <c r="H122" s="486">
        <f t="shared" si="23"/>
        <v>142767.05512485476</v>
      </c>
      <c r="I122" s="542">
        <f t="shared" si="24"/>
        <v>142767.05512485476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>
      <c r="B123" s="160" t="str">
        <f t="shared" si="19"/>
        <v/>
      </c>
      <c r="C123" s="472">
        <f>IF(D93="","-",+C122+1)</f>
        <v>2042</v>
      </c>
      <c r="D123" s="347">
        <f>IF(F122+SUM(E$99:E122)=D$92,F122,D$92-SUM(E$99:E122))</f>
        <v>814181</v>
      </c>
      <c r="E123" s="484">
        <f t="shared" si="20"/>
        <v>50288</v>
      </c>
      <c r="F123" s="485">
        <f t="shared" si="21"/>
        <v>763893</v>
      </c>
      <c r="G123" s="485">
        <f t="shared" si="22"/>
        <v>789037</v>
      </c>
      <c r="H123" s="486">
        <f t="shared" si="23"/>
        <v>137226.18987704406</v>
      </c>
      <c r="I123" s="542">
        <f t="shared" si="24"/>
        <v>137226.18987704406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>
      <c r="B124" s="160" t="str">
        <f t="shared" si="19"/>
        <v/>
      </c>
      <c r="C124" s="472">
        <f>IF(D93="","-",+C123+1)</f>
        <v>2043</v>
      </c>
      <c r="D124" s="347">
        <f>IF(F123+SUM(E$99:E123)=D$92,F123,D$92-SUM(E$99:E123))</f>
        <v>763893</v>
      </c>
      <c r="E124" s="484">
        <f t="shared" si="20"/>
        <v>50288</v>
      </c>
      <c r="F124" s="485">
        <f t="shared" si="21"/>
        <v>713605</v>
      </c>
      <c r="G124" s="485">
        <f t="shared" si="22"/>
        <v>738749</v>
      </c>
      <c r="H124" s="486">
        <f t="shared" si="23"/>
        <v>131685.32462923339</v>
      </c>
      <c r="I124" s="542">
        <f t="shared" si="24"/>
        <v>131685.32462923339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>
      <c r="B125" s="160" t="str">
        <f t="shared" si="19"/>
        <v/>
      </c>
      <c r="C125" s="472">
        <f>IF(D93="","-",+C124+1)</f>
        <v>2044</v>
      </c>
      <c r="D125" s="347">
        <f>IF(F124+SUM(E$99:E124)=D$92,F124,D$92-SUM(E$99:E124))</f>
        <v>713605</v>
      </c>
      <c r="E125" s="484">
        <f t="shared" si="20"/>
        <v>50288</v>
      </c>
      <c r="F125" s="485">
        <f t="shared" si="21"/>
        <v>663317</v>
      </c>
      <c r="G125" s="485">
        <f t="shared" si="22"/>
        <v>688461</v>
      </c>
      <c r="H125" s="486">
        <f t="shared" si="23"/>
        <v>126144.45938142273</v>
      </c>
      <c r="I125" s="542">
        <f t="shared" si="24"/>
        <v>126144.45938142273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>
      <c r="B126" s="160" t="str">
        <f t="shared" si="19"/>
        <v/>
      </c>
      <c r="C126" s="472">
        <f>IF(D93="","-",+C125+1)</f>
        <v>2045</v>
      </c>
      <c r="D126" s="347">
        <f>IF(F125+SUM(E$99:E125)=D$92,F125,D$92-SUM(E$99:E125))</f>
        <v>663317</v>
      </c>
      <c r="E126" s="484">
        <f t="shared" si="20"/>
        <v>50288</v>
      </c>
      <c r="F126" s="485">
        <f t="shared" si="21"/>
        <v>613029</v>
      </c>
      <c r="G126" s="485">
        <f t="shared" si="22"/>
        <v>638173</v>
      </c>
      <c r="H126" s="486">
        <f t="shared" si="23"/>
        <v>120603.59413361204</v>
      </c>
      <c r="I126" s="542">
        <f t="shared" si="24"/>
        <v>120603.59413361204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>
      <c r="B127" s="160" t="str">
        <f t="shared" si="19"/>
        <v/>
      </c>
      <c r="C127" s="472">
        <f>IF(D93="","-",+C126+1)</f>
        <v>2046</v>
      </c>
      <c r="D127" s="347">
        <f>IF(F126+SUM(E$99:E126)=D$92,F126,D$92-SUM(E$99:E126))</f>
        <v>613029</v>
      </c>
      <c r="E127" s="484">
        <f t="shared" si="20"/>
        <v>50288</v>
      </c>
      <c r="F127" s="485">
        <f t="shared" si="21"/>
        <v>562741</v>
      </c>
      <c r="G127" s="485">
        <f t="shared" si="22"/>
        <v>587885</v>
      </c>
      <c r="H127" s="486">
        <f t="shared" si="23"/>
        <v>115062.72888580136</v>
      </c>
      <c r="I127" s="542">
        <f t="shared" si="24"/>
        <v>115062.72888580136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>
      <c r="B128" s="160" t="str">
        <f t="shared" si="19"/>
        <v/>
      </c>
      <c r="C128" s="472">
        <f>IF(D93="","-",+C127+1)</f>
        <v>2047</v>
      </c>
      <c r="D128" s="347">
        <f>IF(F127+SUM(E$99:E127)=D$92,F127,D$92-SUM(E$99:E127))</f>
        <v>562741</v>
      </c>
      <c r="E128" s="484">
        <f t="shared" si="20"/>
        <v>50288</v>
      </c>
      <c r="F128" s="485">
        <f t="shared" si="21"/>
        <v>512453</v>
      </c>
      <c r="G128" s="485">
        <f t="shared" si="22"/>
        <v>537597</v>
      </c>
      <c r="H128" s="486">
        <f t="shared" si="23"/>
        <v>109521.8636379907</v>
      </c>
      <c r="I128" s="542">
        <f t="shared" si="24"/>
        <v>109521.8636379907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>
      <c r="B129" s="160" t="str">
        <f t="shared" si="19"/>
        <v/>
      </c>
      <c r="C129" s="472">
        <f>IF(D93="","-",+C128+1)</f>
        <v>2048</v>
      </c>
      <c r="D129" s="347">
        <f>IF(F128+SUM(E$99:E128)=D$92,F128,D$92-SUM(E$99:E128))</f>
        <v>512453</v>
      </c>
      <c r="E129" s="484">
        <f t="shared" si="20"/>
        <v>50288</v>
      </c>
      <c r="F129" s="485">
        <f t="shared" si="21"/>
        <v>462165</v>
      </c>
      <c r="G129" s="485">
        <f t="shared" si="22"/>
        <v>487309</v>
      </c>
      <c r="H129" s="486">
        <f t="shared" si="23"/>
        <v>103980.99839018003</v>
      </c>
      <c r="I129" s="542">
        <f t="shared" si="24"/>
        <v>103980.99839018003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>
      <c r="B130" s="160" t="str">
        <f t="shared" si="19"/>
        <v/>
      </c>
      <c r="C130" s="472">
        <f>IF(D93="","-",+C129+1)</f>
        <v>2049</v>
      </c>
      <c r="D130" s="347">
        <f>IF(F129+SUM(E$99:E129)=D$92,F129,D$92-SUM(E$99:E129))</f>
        <v>462165</v>
      </c>
      <c r="E130" s="484">
        <f t="shared" si="20"/>
        <v>50288</v>
      </c>
      <c r="F130" s="485">
        <f t="shared" si="21"/>
        <v>411877</v>
      </c>
      <c r="G130" s="485">
        <f t="shared" si="22"/>
        <v>437021</v>
      </c>
      <c r="H130" s="486">
        <f t="shared" si="23"/>
        <v>98440.133142369334</v>
      </c>
      <c r="I130" s="542">
        <f t="shared" si="24"/>
        <v>98440.133142369334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>
      <c r="B131" s="160" t="str">
        <f t="shared" si="19"/>
        <v/>
      </c>
      <c r="C131" s="472">
        <f>IF(D93="","-",+C130+1)</f>
        <v>2050</v>
      </c>
      <c r="D131" s="347">
        <f>IF(F130+SUM(E$99:E130)=D$92,F130,D$92-SUM(E$99:E130))</f>
        <v>411877</v>
      </c>
      <c r="E131" s="484">
        <f t="shared" si="20"/>
        <v>50288</v>
      </c>
      <c r="F131" s="485">
        <f t="shared" si="21"/>
        <v>361589</v>
      </c>
      <c r="G131" s="485">
        <f t="shared" si="22"/>
        <v>386733</v>
      </c>
      <c r="H131" s="486">
        <f t="shared" si="23"/>
        <v>92899.267894558667</v>
      </c>
      <c r="I131" s="542">
        <f t="shared" si="24"/>
        <v>92899.267894558667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9"/>
        <v/>
      </c>
      <c r="C132" s="472">
        <f>IF(D93="","-",+C131+1)</f>
        <v>2051</v>
      </c>
      <c r="D132" s="347">
        <f>IF(F131+SUM(E$99:E131)=D$92,F131,D$92-SUM(E$99:E131))</f>
        <v>361589</v>
      </c>
      <c r="E132" s="484">
        <f t="shared" si="20"/>
        <v>50288</v>
      </c>
      <c r="F132" s="485">
        <f t="shared" si="21"/>
        <v>311301</v>
      </c>
      <c r="G132" s="485">
        <f t="shared" si="22"/>
        <v>336445</v>
      </c>
      <c r="H132" s="486">
        <f t="shared" si="23"/>
        <v>87358.402646748</v>
      </c>
      <c r="I132" s="542">
        <f t="shared" si="24"/>
        <v>87358.402646748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9"/>
        <v/>
      </c>
      <c r="C133" s="472">
        <f>IF(D93="","-",+C132+1)</f>
        <v>2052</v>
      </c>
      <c r="D133" s="347">
        <f>IF(F132+SUM(E$99:E132)=D$92,F132,D$92-SUM(E$99:E132))</f>
        <v>311301</v>
      </c>
      <c r="E133" s="484">
        <f t="shared" si="20"/>
        <v>50288</v>
      </c>
      <c r="F133" s="485">
        <f t="shared" si="21"/>
        <v>261013</v>
      </c>
      <c r="G133" s="485">
        <f t="shared" si="22"/>
        <v>286157</v>
      </c>
      <c r="H133" s="486">
        <f t="shared" si="23"/>
        <v>81817.537398937318</v>
      </c>
      <c r="I133" s="542">
        <f t="shared" si="24"/>
        <v>81817.537398937318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9"/>
        <v/>
      </c>
      <c r="C134" s="472">
        <f>IF(D93="","-",+C133+1)</f>
        <v>2053</v>
      </c>
      <c r="D134" s="347">
        <f>IF(F133+SUM(E$99:E133)=D$92,F133,D$92-SUM(E$99:E133))</f>
        <v>261013</v>
      </c>
      <c r="E134" s="484">
        <f t="shared" si="20"/>
        <v>50288</v>
      </c>
      <c r="F134" s="485">
        <f t="shared" si="21"/>
        <v>210725</v>
      </c>
      <c r="G134" s="485">
        <f t="shared" si="22"/>
        <v>235869</v>
      </c>
      <c r="H134" s="486">
        <f t="shared" si="23"/>
        <v>76276.672151126637</v>
      </c>
      <c r="I134" s="542">
        <f t="shared" si="24"/>
        <v>76276.672151126637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9"/>
        <v/>
      </c>
      <c r="C135" s="472">
        <f>IF(D93="","-",+C134+1)</f>
        <v>2054</v>
      </c>
      <c r="D135" s="347">
        <f>IF(F134+SUM(E$99:E134)=D$92,F134,D$92-SUM(E$99:E134))</f>
        <v>210725</v>
      </c>
      <c r="E135" s="484">
        <f t="shared" si="20"/>
        <v>50288</v>
      </c>
      <c r="F135" s="485">
        <f t="shared" si="21"/>
        <v>160437</v>
      </c>
      <c r="G135" s="485">
        <f t="shared" si="22"/>
        <v>185581</v>
      </c>
      <c r="H135" s="486">
        <f t="shared" si="23"/>
        <v>70735.80690331597</v>
      </c>
      <c r="I135" s="542">
        <f t="shared" si="24"/>
        <v>70735.80690331597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9"/>
        <v/>
      </c>
      <c r="C136" s="472">
        <f>IF(D93="","-",+C135+1)</f>
        <v>2055</v>
      </c>
      <c r="D136" s="347">
        <f>IF(F135+SUM(E$99:E135)=D$92,F135,D$92-SUM(E$99:E135))</f>
        <v>160437</v>
      </c>
      <c r="E136" s="484">
        <f t="shared" si="20"/>
        <v>50288</v>
      </c>
      <c r="F136" s="485">
        <f t="shared" si="21"/>
        <v>110149</v>
      </c>
      <c r="G136" s="485">
        <f t="shared" si="22"/>
        <v>135293</v>
      </c>
      <c r="H136" s="486">
        <f t="shared" si="23"/>
        <v>65194.941655505289</v>
      </c>
      <c r="I136" s="542">
        <f t="shared" si="24"/>
        <v>65194.941655505289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9"/>
        <v/>
      </c>
      <c r="C137" s="472">
        <f>IF(D93="","-",+C136+1)</f>
        <v>2056</v>
      </c>
      <c r="D137" s="347">
        <f>IF(F136+SUM(E$99:E136)=D$92,F136,D$92-SUM(E$99:E136))</f>
        <v>110149</v>
      </c>
      <c r="E137" s="484">
        <f t="shared" si="20"/>
        <v>50288</v>
      </c>
      <c r="F137" s="485">
        <f t="shared" si="21"/>
        <v>59861</v>
      </c>
      <c r="G137" s="485">
        <f t="shared" si="22"/>
        <v>85005</v>
      </c>
      <c r="H137" s="486">
        <f t="shared" si="23"/>
        <v>59654.076407694607</v>
      </c>
      <c r="I137" s="542">
        <f t="shared" si="24"/>
        <v>59654.076407694607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9"/>
        <v/>
      </c>
      <c r="C138" s="472">
        <f>IF(D93="","-",+C137+1)</f>
        <v>2057</v>
      </c>
      <c r="D138" s="347">
        <f>IF(F137+SUM(E$99:E137)=D$92,F137,D$92-SUM(E$99:E137))</f>
        <v>59861</v>
      </c>
      <c r="E138" s="484">
        <f t="shared" si="20"/>
        <v>50288</v>
      </c>
      <c r="F138" s="485">
        <f t="shared" si="21"/>
        <v>9573</v>
      </c>
      <c r="G138" s="485">
        <f t="shared" si="22"/>
        <v>34717</v>
      </c>
      <c r="H138" s="486">
        <f t="shared" si="23"/>
        <v>54113.211159883933</v>
      </c>
      <c r="I138" s="542">
        <f t="shared" si="24"/>
        <v>54113.211159883933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9"/>
        <v/>
      </c>
      <c r="C139" s="472">
        <f>IF(D93="","-",+C138+1)</f>
        <v>2058</v>
      </c>
      <c r="D139" s="347">
        <f>IF(F138+SUM(E$99:E138)=D$92,F138,D$92-SUM(E$99:E138))</f>
        <v>9573</v>
      </c>
      <c r="E139" s="484">
        <f t="shared" si="20"/>
        <v>9573</v>
      </c>
      <c r="F139" s="485">
        <f t="shared" si="21"/>
        <v>0</v>
      </c>
      <c r="G139" s="485">
        <f t="shared" si="22"/>
        <v>4786.5</v>
      </c>
      <c r="H139" s="486">
        <f t="shared" si="23"/>
        <v>10100.389267989298</v>
      </c>
      <c r="I139" s="542">
        <f t="shared" si="24"/>
        <v>10100.389267989298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9"/>
        <v/>
      </c>
      <c r="C140" s="472">
        <f>IF(D93="","-",+C139+1)</f>
        <v>2059</v>
      </c>
      <c r="D140" s="347">
        <f>IF(F139+SUM(E$99:E139)=D$92,F139,D$92-SUM(E$99:E139))</f>
        <v>0</v>
      </c>
      <c r="E140" s="484">
        <f t="shared" si="20"/>
        <v>0</v>
      </c>
      <c r="F140" s="485">
        <f t="shared" si="21"/>
        <v>0</v>
      </c>
      <c r="G140" s="485">
        <f t="shared" si="22"/>
        <v>0</v>
      </c>
      <c r="H140" s="486">
        <f t="shared" si="23"/>
        <v>0</v>
      </c>
      <c r="I140" s="542">
        <f t="shared" si="24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9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486">
        <f t="shared" si="23"/>
        <v>0</v>
      </c>
      <c r="I141" s="542">
        <f t="shared" si="24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9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486">
        <f t="shared" si="23"/>
        <v>0</v>
      </c>
      <c r="I142" s="542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9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486">
        <f t="shared" si="23"/>
        <v>0</v>
      </c>
      <c r="I143" s="542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9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486">
        <f t="shared" si="23"/>
        <v>0</v>
      </c>
      <c r="I144" s="542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9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486">
        <f t="shared" si="23"/>
        <v>0</v>
      </c>
      <c r="I145" s="542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9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486">
        <f t="shared" si="23"/>
        <v>0</v>
      </c>
      <c r="I146" s="542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9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486">
        <f t="shared" si="23"/>
        <v>0</v>
      </c>
      <c r="I147" s="542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9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486">
        <f t="shared" si="23"/>
        <v>0</v>
      </c>
      <c r="I148" s="542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9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486">
        <f t="shared" si="23"/>
        <v>0</v>
      </c>
      <c r="I149" s="542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9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486">
        <f t="shared" si="23"/>
        <v>0</v>
      </c>
      <c r="I150" s="542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9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486">
        <f t="shared" si="23"/>
        <v>0</v>
      </c>
      <c r="I151" s="542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9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486">
        <f t="shared" si="23"/>
        <v>0</v>
      </c>
      <c r="I152" s="542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9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486">
        <f t="shared" si="23"/>
        <v>0</v>
      </c>
      <c r="I153" s="542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9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1961221</v>
      </c>
      <c r="F155" s="348"/>
      <c r="G155" s="348"/>
      <c r="H155" s="348">
        <f>SUM(H99:H154)</f>
        <v>6290066.7982710684</v>
      </c>
      <c r="I155" s="348">
        <f>SUM(I99:I154)</f>
        <v>6290066.7982710684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0"/>
  <dimension ref="A1:P162"/>
  <sheetViews>
    <sheetView view="pageBreakPreview" zoomScale="78" zoomScaleNormal="100" zoomScaleSheetLayoutView="78" workbookViewId="0">
      <selection activeCell="D93" sqref="D9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21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39805.169882695685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39805.169882695685</v>
      </c>
      <c r="O6" s="233"/>
      <c r="P6" s="233"/>
    </row>
    <row r="7" spans="1:16" ht="13.5" thickBot="1">
      <c r="C7" s="431" t="s">
        <v>46</v>
      </c>
      <c r="D7" s="599" t="s">
        <v>276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297</v>
      </c>
      <c r="E9" s="577" t="s">
        <v>298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330872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7877.9047619047615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2017</v>
      </c>
      <c r="D17" s="584">
        <v>0</v>
      </c>
      <c r="E17" s="608">
        <v>2847.8260869565215</v>
      </c>
      <c r="F17" s="584">
        <v>259152.17391304349</v>
      </c>
      <c r="G17" s="608">
        <v>19337.763747649027</v>
      </c>
      <c r="H17" s="587">
        <v>19337.763747649027</v>
      </c>
      <c r="I17" s="475">
        <f t="shared" ref="I17:I72" si="0">H17-G17</f>
        <v>0</v>
      </c>
      <c r="J17" s="475"/>
      <c r="K17" s="477">
        <f t="shared" ref="K17:K22" si="1">+G17</f>
        <v>19337.763747649027</v>
      </c>
      <c r="L17" s="477">
        <f t="shared" ref="L17:L72" si="2">IF(K17&lt;&gt;0,+G17-K17,0)</f>
        <v>0</v>
      </c>
      <c r="M17" s="477">
        <f t="shared" ref="M17:M22" si="3">+H17</f>
        <v>19337.763747649027</v>
      </c>
      <c r="N17" s="477">
        <f t="shared" ref="N17:N72" si="4">IF(M17&lt;&gt;0,+H17-M17,0)</f>
        <v>0</v>
      </c>
      <c r="O17" s="478">
        <f t="shared" ref="O17:O72" si="5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2018</v>
      </c>
      <c r="D18" s="584">
        <v>259152.17391304349</v>
      </c>
      <c r="E18" s="585">
        <v>5822.2222222222226</v>
      </c>
      <c r="F18" s="584">
        <v>253329.95169082127</v>
      </c>
      <c r="G18" s="585">
        <v>36509.380469214986</v>
      </c>
      <c r="H18" s="587">
        <v>36509.380469214986</v>
      </c>
      <c r="I18" s="475">
        <f t="shared" si="0"/>
        <v>0</v>
      </c>
      <c r="J18" s="475"/>
      <c r="K18" s="478">
        <f t="shared" si="1"/>
        <v>36509.380469214986</v>
      </c>
      <c r="L18" s="478">
        <f t="shared" si="2"/>
        <v>0</v>
      </c>
      <c r="M18" s="478">
        <f t="shared" si="3"/>
        <v>36509.380469214986</v>
      </c>
      <c r="N18" s="478">
        <f t="shared" si="4"/>
        <v>0</v>
      </c>
      <c r="O18" s="478">
        <f t="shared" si="5"/>
        <v>0</v>
      </c>
      <c r="P18" s="243"/>
    </row>
    <row r="19" spans="2:16">
      <c r="B19" s="160" t="str">
        <f>IF(D19=F18,"","IU")</f>
        <v/>
      </c>
      <c r="C19" s="472">
        <f>IF(D11="","-",+C18+1)</f>
        <v>2019</v>
      </c>
      <c r="D19" s="584">
        <v>253329.95169082127</v>
      </c>
      <c r="E19" s="585">
        <v>6550</v>
      </c>
      <c r="F19" s="584">
        <v>246779.95169082127</v>
      </c>
      <c r="G19" s="585">
        <v>34470.293545069071</v>
      </c>
      <c r="H19" s="587">
        <v>34470.293545069071</v>
      </c>
      <c r="I19" s="475">
        <f t="shared" si="0"/>
        <v>0</v>
      </c>
      <c r="J19" s="475"/>
      <c r="K19" s="478">
        <f t="shared" si="1"/>
        <v>34470.293545069071</v>
      </c>
      <c r="L19" s="478">
        <f t="shared" ref="L19" si="6">IF(K19&lt;&gt;0,+G19-K19,0)</f>
        <v>0</v>
      </c>
      <c r="M19" s="478">
        <f t="shared" si="3"/>
        <v>34470.293545069071</v>
      </c>
      <c r="N19" s="478">
        <f t="shared" si="4"/>
        <v>0</v>
      </c>
      <c r="O19" s="478">
        <f t="shared" si="5"/>
        <v>0</v>
      </c>
      <c r="P19" s="243"/>
    </row>
    <row r="20" spans="2:16">
      <c r="B20" s="160" t="str">
        <f t="shared" ref="B20:B72" si="7">IF(D20=F19,"","IU")</f>
        <v>IU</v>
      </c>
      <c r="C20" s="472">
        <f>IF(D11="","-",+C19+1)</f>
        <v>2020</v>
      </c>
      <c r="D20" s="584">
        <v>316379.72946859902</v>
      </c>
      <c r="E20" s="585">
        <v>7877.9047619047615</v>
      </c>
      <c r="F20" s="584">
        <v>308501.82470669429</v>
      </c>
      <c r="G20" s="585">
        <v>41623.00118882845</v>
      </c>
      <c r="H20" s="587">
        <v>41623.00118882845</v>
      </c>
      <c r="I20" s="475">
        <f t="shared" si="0"/>
        <v>0</v>
      </c>
      <c r="J20" s="475"/>
      <c r="K20" s="478">
        <f t="shared" si="1"/>
        <v>41623.00118882845</v>
      </c>
      <c r="L20" s="478">
        <f t="shared" ref="L20" si="8">IF(K20&lt;&gt;0,+G20-K20,0)</f>
        <v>0</v>
      </c>
      <c r="M20" s="478">
        <f t="shared" si="3"/>
        <v>41623.00118882845</v>
      </c>
      <c r="N20" s="478">
        <f t="shared" si="4"/>
        <v>0</v>
      </c>
      <c r="O20" s="478">
        <f t="shared" si="5"/>
        <v>0</v>
      </c>
      <c r="P20" s="243"/>
    </row>
    <row r="21" spans="2:16">
      <c r="B21" s="160" t="str">
        <f t="shared" si="7"/>
        <v>IU</v>
      </c>
      <c r="C21" s="472">
        <f>IF(D11="","-",+C20+1)</f>
        <v>2021</v>
      </c>
      <c r="D21" s="584">
        <v>307774.04692891648</v>
      </c>
      <c r="E21" s="585">
        <v>7694.6976744186049</v>
      </c>
      <c r="F21" s="584">
        <v>300079.34925449785</v>
      </c>
      <c r="G21" s="585">
        <v>40464.576318636115</v>
      </c>
      <c r="H21" s="587">
        <v>40464.576318636115</v>
      </c>
      <c r="I21" s="475">
        <f t="shared" si="0"/>
        <v>0</v>
      </c>
      <c r="J21" s="475"/>
      <c r="K21" s="478">
        <f t="shared" si="1"/>
        <v>40464.576318636115</v>
      </c>
      <c r="L21" s="478">
        <f t="shared" ref="L21" si="9">IF(K21&lt;&gt;0,+G21-K21,0)</f>
        <v>0</v>
      </c>
      <c r="M21" s="478">
        <f t="shared" si="3"/>
        <v>40464.576318636115</v>
      </c>
      <c r="N21" s="478">
        <f t="shared" si="4"/>
        <v>0</v>
      </c>
      <c r="O21" s="478">
        <f t="shared" si="5"/>
        <v>0</v>
      </c>
      <c r="P21" s="243"/>
    </row>
    <row r="22" spans="2:16">
      <c r="B22" s="160" t="str">
        <f t="shared" si="7"/>
        <v/>
      </c>
      <c r="C22" s="472">
        <f>IF(D11="","-",+C21+1)</f>
        <v>2022</v>
      </c>
      <c r="D22" s="584">
        <v>300079.34925449785</v>
      </c>
      <c r="E22" s="585">
        <v>7877.9047619047615</v>
      </c>
      <c r="F22" s="584">
        <v>292201.44449259312</v>
      </c>
      <c r="G22" s="585">
        <v>39805.169882695685</v>
      </c>
      <c r="H22" s="587">
        <v>39805.169882695685</v>
      </c>
      <c r="I22" s="475">
        <f t="shared" si="0"/>
        <v>0</v>
      </c>
      <c r="J22" s="475"/>
      <c r="K22" s="478">
        <f t="shared" si="1"/>
        <v>39805.169882695685</v>
      </c>
      <c r="L22" s="478">
        <f t="shared" ref="L22" si="10">IF(K22&lt;&gt;0,+G22-K22,0)</f>
        <v>0</v>
      </c>
      <c r="M22" s="478">
        <f t="shared" si="3"/>
        <v>39805.169882695685</v>
      </c>
      <c r="N22" s="478">
        <f t="shared" si="4"/>
        <v>0</v>
      </c>
      <c r="O22" s="478">
        <f t="shared" si="5"/>
        <v>0</v>
      </c>
      <c r="P22" s="243"/>
    </row>
    <row r="23" spans="2:16">
      <c r="B23" s="160" t="str">
        <f t="shared" si="7"/>
        <v/>
      </c>
      <c r="C23" s="472">
        <f>IF(D11="","-",+C22+1)</f>
        <v>2023</v>
      </c>
      <c r="D23" s="483">
        <f>IF(F22+SUM(E$17:E22)=D$10,F22,D$10-SUM(E$17:E22))</f>
        <v>292201.44449259312</v>
      </c>
      <c r="E23" s="484">
        <f t="shared" ref="E23:E72" si="11">IF(+I$14&lt;F22,I$14,D23)</f>
        <v>7877.9047619047615</v>
      </c>
      <c r="F23" s="485">
        <f t="shared" ref="F23:F72" si="12">+D23-E23</f>
        <v>284323.53973068838</v>
      </c>
      <c r="G23" s="486">
        <f t="shared" ref="G23:G72" si="13">(D23+F23)/2*I$12+E23</f>
        <v>38955.843155963848</v>
      </c>
      <c r="H23" s="455">
        <f t="shared" ref="H23:H72" si="14">+(D23+F23)/2*I$13+E23</f>
        <v>38955.843155963848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3"/>
    </row>
    <row r="24" spans="2:16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284323.53973068838</v>
      </c>
      <c r="E24" s="484">
        <f t="shared" si="11"/>
        <v>7877.9047619047615</v>
      </c>
      <c r="F24" s="485">
        <f t="shared" si="12"/>
        <v>276445.63496878365</v>
      </c>
      <c r="G24" s="486">
        <f t="shared" si="13"/>
        <v>38106.516429232019</v>
      </c>
      <c r="H24" s="455">
        <f t="shared" si="14"/>
        <v>38106.516429232019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3"/>
    </row>
    <row r="25" spans="2:16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276445.63496878365</v>
      </c>
      <c r="E25" s="484">
        <f t="shared" si="11"/>
        <v>7877.9047619047615</v>
      </c>
      <c r="F25" s="485">
        <f t="shared" si="12"/>
        <v>268567.73020687891</v>
      </c>
      <c r="G25" s="486">
        <f t="shared" si="13"/>
        <v>37257.189702500189</v>
      </c>
      <c r="H25" s="455">
        <f t="shared" si="14"/>
        <v>37257.189702500189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3"/>
    </row>
    <row r="26" spans="2:16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268567.73020687891</v>
      </c>
      <c r="E26" s="484">
        <f t="shared" si="11"/>
        <v>7877.9047619047615</v>
      </c>
      <c r="F26" s="485">
        <f t="shared" si="12"/>
        <v>260689.82544497415</v>
      </c>
      <c r="G26" s="486">
        <f t="shared" si="13"/>
        <v>36407.862975768359</v>
      </c>
      <c r="H26" s="455">
        <f t="shared" si="14"/>
        <v>36407.862975768359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3"/>
    </row>
    <row r="27" spans="2:16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260689.82544497415</v>
      </c>
      <c r="E27" s="484">
        <f t="shared" si="11"/>
        <v>7877.9047619047615</v>
      </c>
      <c r="F27" s="485">
        <f t="shared" si="12"/>
        <v>252811.92068306939</v>
      </c>
      <c r="G27" s="486">
        <f t="shared" si="13"/>
        <v>35558.536249036522</v>
      </c>
      <c r="H27" s="455">
        <f t="shared" si="14"/>
        <v>35558.536249036522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252811.92068306939</v>
      </c>
      <c r="E28" s="484">
        <f t="shared" si="11"/>
        <v>7877.9047619047615</v>
      </c>
      <c r="F28" s="485">
        <f t="shared" si="12"/>
        <v>244934.01592116462</v>
      </c>
      <c r="G28" s="486">
        <f t="shared" si="13"/>
        <v>34709.209522304693</v>
      </c>
      <c r="H28" s="455">
        <f t="shared" si="14"/>
        <v>34709.209522304693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244934.01592116462</v>
      </c>
      <c r="E29" s="484">
        <f t="shared" si="11"/>
        <v>7877.9047619047615</v>
      </c>
      <c r="F29" s="485">
        <f t="shared" si="12"/>
        <v>237056.11115925986</v>
      </c>
      <c r="G29" s="486">
        <f t="shared" si="13"/>
        <v>33859.882795572856</v>
      </c>
      <c r="H29" s="455">
        <f t="shared" si="14"/>
        <v>33859.882795572856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237056.11115925986</v>
      </c>
      <c r="E30" s="484">
        <f t="shared" si="11"/>
        <v>7877.9047619047615</v>
      </c>
      <c r="F30" s="485">
        <f t="shared" si="12"/>
        <v>229178.2063973551</v>
      </c>
      <c r="G30" s="486">
        <f t="shared" si="13"/>
        <v>33010.556068841019</v>
      </c>
      <c r="H30" s="455">
        <f t="shared" si="14"/>
        <v>33010.556068841019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229178.2063973551</v>
      </c>
      <c r="E31" s="484">
        <f t="shared" si="11"/>
        <v>7877.9047619047615</v>
      </c>
      <c r="F31" s="485">
        <f t="shared" si="12"/>
        <v>221300.30163545033</v>
      </c>
      <c r="G31" s="486">
        <f t="shared" si="13"/>
        <v>32161.229342109182</v>
      </c>
      <c r="H31" s="455">
        <f t="shared" si="14"/>
        <v>32161.229342109182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221300.30163545033</v>
      </c>
      <c r="E32" s="484">
        <f t="shared" si="11"/>
        <v>7877.9047619047615</v>
      </c>
      <c r="F32" s="485">
        <f t="shared" si="12"/>
        <v>213422.39687354557</v>
      </c>
      <c r="G32" s="486">
        <f t="shared" si="13"/>
        <v>31311.902615377352</v>
      </c>
      <c r="H32" s="455">
        <f t="shared" si="14"/>
        <v>31311.902615377352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213422.39687354557</v>
      </c>
      <c r="E33" s="484">
        <f t="shared" si="11"/>
        <v>7877.9047619047615</v>
      </c>
      <c r="F33" s="485">
        <f t="shared" si="12"/>
        <v>205544.49211164081</v>
      </c>
      <c r="G33" s="486">
        <f t="shared" si="13"/>
        <v>30462.575888645515</v>
      </c>
      <c r="H33" s="455">
        <f t="shared" si="14"/>
        <v>30462.575888645515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205544.49211164081</v>
      </c>
      <c r="E34" s="484">
        <f t="shared" si="11"/>
        <v>7877.9047619047615</v>
      </c>
      <c r="F34" s="485">
        <f t="shared" si="12"/>
        <v>197666.58734973604</v>
      </c>
      <c r="G34" s="486">
        <f t="shared" si="13"/>
        <v>29613.249161913685</v>
      </c>
      <c r="H34" s="455">
        <f t="shared" si="14"/>
        <v>29613.249161913685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197666.58734973604</v>
      </c>
      <c r="E35" s="484">
        <f t="shared" si="11"/>
        <v>7877.9047619047615</v>
      </c>
      <c r="F35" s="485">
        <f t="shared" si="12"/>
        <v>189788.68258783128</v>
      </c>
      <c r="G35" s="486">
        <f t="shared" si="13"/>
        <v>28763.922435181848</v>
      </c>
      <c r="H35" s="455">
        <f t="shared" si="14"/>
        <v>28763.922435181848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189788.68258783128</v>
      </c>
      <c r="E36" s="484">
        <f t="shared" si="11"/>
        <v>7877.9047619047615</v>
      </c>
      <c r="F36" s="485">
        <f t="shared" si="12"/>
        <v>181910.77782592652</v>
      </c>
      <c r="G36" s="486">
        <f t="shared" si="13"/>
        <v>27914.595708450019</v>
      </c>
      <c r="H36" s="455">
        <f t="shared" si="14"/>
        <v>27914.595708450019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181910.77782592652</v>
      </c>
      <c r="E37" s="484">
        <f t="shared" si="11"/>
        <v>7877.9047619047615</v>
      </c>
      <c r="F37" s="485">
        <f t="shared" si="12"/>
        <v>174032.87306402175</v>
      </c>
      <c r="G37" s="486">
        <f t="shared" si="13"/>
        <v>27065.268981718182</v>
      </c>
      <c r="H37" s="455">
        <f t="shared" si="14"/>
        <v>27065.268981718182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174032.87306402175</v>
      </c>
      <c r="E38" s="484">
        <f t="shared" si="11"/>
        <v>7877.9047619047615</v>
      </c>
      <c r="F38" s="485">
        <f t="shared" si="12"/>
        <v>166154.96830211699</v>
      </c>
      <c r="G38" s="486">
        <f t="shared" si="13"/>
        <v>26215.942254986352</v>
      </c>
      <c r="H38" s="455">
        <f t="shared" si="14"/>
        <v>26215.942254986352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166154.96830211699</v>
      </c>
      <c r="E39" s="484">
        <f t="shared" si="11"/>
        <v>7877.9047619047615</v>
      </c>
      <c r="F39" s="485">
        <f t="shared" si="12"/>
        <v>158277.06354021223</v>
      </c>
      <c r="G39" s="486">
        <f t="shared" si="13"/>
        <v>25366.615528254515</v>
      </c>
      <c r="H39" s="455">
        <f t="shared" si="14"/>
        <v>25366.615528254515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158277.06354021223</v>
      </c>
      <c r="E40" s="484">
        <f t="shared" si="11"/>
        <v>7877.9047619047615</v>
      </c>
      <c r="F40" s="485">
        <f t="shared" si="12"/>
        <v>150399.15877830746</v>
      </c>
      <c r="G40" s="486">
        <f t="shared" si="13"/>
        <v>24517.288801522678</v>
      </c>
      <c r="H40" s="455">
        <f t="shared" si="14"/>
        <v>24517.288801522678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150399.15877830746</v>
      </c>
      <c r="E41" s="484">
        <f t="shared" si="11"/>
        <v>7877.9047619047615</v>
      </c>
      <c r="F41" s="485">
        <f t="shared" si="12"/>
        <v>142521.2540164027</v>
      </c>
      <c r="G41" s="486">
        <f t="shared" si="13"/>
        <v>23667.962074790845</v>
      </c>
      <c r="H41" s="455">
        <f t="shared" si="14"/>
        <v>23667.962074790845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142521.2540164027</v>
      </c>
      <c r="E42" s="484">
        <f t="shared" si="11"/>
        <v>7877.9047619047615</v>
      </c>
      <c r="F42" s="485">
        <f t="shared" si="12"/>
        <v>134643.34925449794</v>
      </c>
      <c r="G42" s="486">
        <f t="shared" si="13"/>
        <v>22818.635348059011</v>
      </c>
      <c r="H42" s="455">
        <f t="shared" si="14"/>
        <v>22818.635348059011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134643.34925449794</v>
      </c>
      <c r="E43" s="484">
        <f t="shared" si="11"/>
        <v>7877.9047619047615</v>
      </c>
      <c r="F43" s="485">
        <f t="shared" si="12"/>
        <v>126765.44449259317</v>
      </c>
      <c r="G43" s="486">
        <f t="shared" si="13"/>
        <v>21969.308621327178</v>
      </c>
      <c r="H43" s="455">
        <f t="shared" si="14"/>
        <v>21969.308621327178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126765.44449259317</v>
      </c>
      <c r="E44" s="484">
        <f t="shared" si="11"/>
        <v>7877.9047619047615</v>
      </c>
      <c r="F44" s="485">
        <f t="shared" si="12"/>
        <v>118887.53973068841</v>
      </c>
      <c r="G44" s="486">
        <f t="shared" si="13"/>
        <v>21119.981894595345</v>
      </c>
      <c r="H44" s="455">
        <f t="shared" si="14"/>
        <v>21119.981894595345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118887.53973068841</v>
      </c>
      <c r="E45" s="484">
        <f t="shared" si="11"/>
        <v>7877.9047619047615</v>
      </c>
      <c r="F45" s="485">
        <f t="shared" si="12"/>
        <v>111009.63496878365</v>
      </c>
      <c r="G45" s="486">
        <f t="shared" si="13"/>
        <v>20270.655167863508</v>
      </c>
      <c r="H45" s="455">
        <f t="shared" si="14"/>
        <v>20270.655167863508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111009.63496878365</v>
      </c>
      <c r="E46" s="484">
        <f t="shared" si="11"/>
        <v>7877.9047619047615</v>
      </c>
      <c r="F46" s="485">
        <f t="shared" si="12"/>
        <v>103131.73020687888</v>
      </c>
      <c r="G46" s="486">
        <f t="shared" si="13"/>
        <v>19421.328441131678</v>
      </c>
      <c r="H46" s="455">
        <f t="shared" si="14"/>
        <v>19421.328441131678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103131.73020687888</v>
      </c>
      <c r="E47" s="484">
        <f t="shared" si="11"/>
        <v>7877.9047619047615</v>
      </c>
      <c r="F47" s="485">
        <f t="shared" si="12"/>
        <v>95253.825444974122</v>
      </c>
      <c r="G47" s="486">
        <f t="shared" si="13"/>
        <v>18572.001714399841</v>
      </c>
      <c r="H47" s="455">
        <f t="shared" si="14"/>
        <v>18572.001714399841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95253.825444974122</v>
      </c>
      <c r="E48" s="484">
        <f t="shared" si="11"/>
        <v>7877.9047619047615</v>
      </c>
      <c r="F48" s="485">
        <f t="shared" si="12"/>
        <v>87375.920683069358</v>
      </c>
      <c r="G48" s="486">
        <f t="shared" si="13"/>
        <v>17722.674987668008</v>
      </c>
      <c r="H48" s="455">
        <f t="shared" si="14"/>
        <v>17722.674987668008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87375.920683069358</v>
      </c>
      <c r="E49" s="484">
        <f t="shared" si="11"/>
        <v>7877.9047619047615</v>
      </c>
      <c r="F49" s="485">
        <f t="shared" si="12"/>
        <v>79498.015921164595</v>
      </c>
      <c r="G49" s="486">
        <f t="shared" si="13"/>
        <v>16873.348260936174</v>
      </c>
      <c r="H49" s="455">
        <f t="shared" si="14"/>
        <v>16873.348260936174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3"/>
    </row>
    <row r="50" spans="2:16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79498.015921164595</v>
      </c>
      <c r="E50" s="484">
        <f t="shared" si="11"/>
        <v>7877.9047619047615</v>
      </c>
      <c r="F50" s="485">
        <f t="shared" si="12"/>
        <v>71620.111159259832</v>
      </c>
      <c r="G50" s="486">
        <f t="shared" si="13"/>
        <v>16024.021534204339</v>
      </c>
      <c r="H50" s="455">
        <f t="shared" si="14"/>
        <v>16024.021534204339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3"/>
    </row>
    <row r="51" spans="2:16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71620.111159259832</v>
      </c>
      <c r="E51" s="484">
        <f t="shared" si="11"/>
        <v>7877.9047619047615</v>
      </c>
      <c r="F51" s="485">
        <f t="shared" si="12"/>
        <v>63742.206397355068</v>
      </c>
      <c r="G51" s="486">
        <f t="shared" si="13"/>
        <v>15174.694807472504</v>
      </c>
      <c r="H51" s="455">
        <f t="shared" si="14"/>
        <v>15174.694807472504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3"/>
    </row>
    <row r="52" spans="2:16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63742.206397355068</v>
      </c>
      <c r="E52" s="484">
        <f t="shared" si="11"/>
        <v>7877.9047619047615</v>
      </c>
      <c r="F52" s="485">
        <f t="shared" si="12"/>
        <v>55864.301635450305</v>
      </c>
      <c r="G52" s="486">
        <f t="shared" si="13"/>
        <v>14325.368080740671</v>
      </c>
      <c r="H52" s="455">
        <f t="shared" si="14"/>
        <v>14325.368080740671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3"/>
    </row>
    <row r="53" spans="2:16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55864.301635450305</v>
      </c>
      <c r="E53" s="484">
        <f t="shared" si="11"/>
        <v>7877.9047619047615</v>
      </c>
      <c r="F53" s="485">
        <f t="shared" si="12"/>
        <v>47986.396873545542</v>
      </c>
      <c r="G53" s="486">
        <f t="shared" si="13"/>
        <v>13476.041354008838</v>
      </c>
      <c r="H53" s="455">
        <f t="shared" si="14"/>
        <v>13476.041354008838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3"/>
    </row>
    <row r="54" spans="2:16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47986.396873545542</v>
      </c>
      <c r="E54" s="484">
        <f t="shared" si="11"/>
        <v>7877.9047619047615</v>
      </c>
      <c r="F54" s="485">
        <f t="shared" si="12"/>
        <v>40108.492111640779</v>
      </c>
      <c r="G54" s="486">
        <f t="shared" si="13"/>
        <v>12626.714627277004</v>
      </c>
      <c r="H54" s="455">
        <f t="shared" si="14"/>
        <v>12626.714627277004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3"/>
    </row>
    <row r="55" spans="2:16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40108.492111640779</v>
      </c>
      <c r="E55" s="484">
        <f t="shared" si="11"/>
        <v>7877.9047619047615</v>
      </c>
      <c r="F55" s="485">
        <f t="shared" si="12"/>
        <v>32230.587349736015</v>
      </c>
      <c r="G55" s="486">
        <f t="shared" si="13"/>
        <v>11777.387900545169</v>
      </c>
      <c r="H55" s="455">
        <f t="shared" si="14"/>
        <v>11777.387900545169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3"/>
    </row>
    <row r="56" spans="2:16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32230.587349736015</v>
      </c>
      <c r="E56" s="484">
        <f t="shared" si="11"/>
        <v>7877.9047619047615</v>
      </c>
      <c r="F56" s="485">
        <f t="shared" si="12"/>
        <v>24352.682587831252</v>
      </c>
      <c r="G56" s="486">
        <f t="shared" si="13"/>
        <v>10928.061173813334</v>
      </c>
      <c r="H56" s="455">
        <f t="shared" si="14"/>
        <v>10928.061173813334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3"/>
    </row>
    <row r="57" spans="2:16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24352.682587831252</v>
      </c>
      <c r="E57" s="484">
        <f t="shared" si="11"/>
        <v>7877.9047619047615</v>
      </c>
      <c r="F57" s="485">
        <f t="shared" si="12"/>
        <v>16474.777825926489</v>
      </c>
      <c r="G57" s="486">
        <f t="shared" si="13"/>
        <v>10078.734447081501</v>
      </c>
      <c r="H57" s="455">
        <f t="shared" si="14"/>
        <v>10078.734447081501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3"/>
    </row>
    <row r="58" spans="2:16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16474.777825926489</v>
      </c>
      <c r="E58" s="484">
        <f t="shared" si="11"/>
        <v>7877.9047619047615</v>
      </c>
      <c r="F58" s="485">
        <f t="shared" si="12"/>
        <v>8596.8730640217273</v>
      </c>
      <c r="G58" s="486">
        <f t="shared" si="13"/>
        <v>9229.4077203496672</v>
      </c>
      <c r="H58" s="455">
        <f t="shared" si="14"/>
        <v>9229.4077203496672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3"/>
    </row>
    <row r="59" spans="2:16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8596.8730640217273</v>
      </c>
      <c r="E59" s="484">
        <f t="shared" si="11"/>
        <v>7877.9047619047615</v>
      </c>
      <c r="F59" s="485">
        <f t="shared" si="12"/>
        <v>718.96830211696579</v>
      </c>
      <c r="G59" s="486">
        <f t="shared" si="13"/>
        <v>8380.0809936178339</v>
      </c>
      <c r="H59" s="455">
        <f t="shared" si="14"/>
        <v>8380.0809936178339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3"/>
    </row>
    <row r="60" spans="2:16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718.96830211696579</v>
      </c>
      <c r="E60" s="484">
        <f t="shared" si="11"/>
        <v>718.96830211696579</v>
      </c>
      <c r="F60" s="485">
        <f t="shared" si="12"/>
        <v>0</v>
      </c>
      <c r="G60" s="486">
        <f t="shared" si="13"/>
        <v>757.72473629054309</v>
      </c>
      <c r="H60" s="455">
        <f t="shared" si="14"/>
        <v>757.72473629054309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3"/>
    </row>
    <row r="61" spans="2:16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11"/>
        <v>0</v>
      </c>
      <c r="F61" s="485">
        <f t="shared" si="12"/>
        <v>0</v>
      </c>
      <c r="G61" s="486">
        <f t="shared" si="13"/>
        <v>0</v>
      </c>
      <c r="H61" s="455">
        <f t="shared" si="14"/>
        <v>0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3"/>
    </row>
    <row r="62" spans="2:16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3"/>
    </row>
    <row r="63" spans="2:16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3"/>
    </row>
    <row r="64" spans="2:16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3"/>
    </row>
    <row r="65" spans="2:16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3"/>
    </row>
    <row r="66" spans="2:16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3"/>
    </row>
    <row r="67" spans="2:16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3"/>
    </row>
    <row r="68" spans="2:16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3"/>
    </row>
    <row r="69" spans="2:16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3"/>
    </row>
    <row r="70" spans="2:16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3"/>
    </row>
    <row r="71" spans="2:16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3"/>
    </row>
    <row r="72" spans="2:16" ht="13.5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3"/>
    </row>
    <row r="73" spans="2:16">
      <c r="C73" s="347" t="s">
        <v>77</v>
      </c>
      <c r="D73" s="348"/>
      <c r="E73" s="348">
        <f>SUM(E17:E72)</f>
        <v>330871.99999999983</v>
      </c>
      <c r="F73" s="348"/>
      <c r="G73" s="348">
        <f>SUM(G17:G72)</f>
        <v>1088682.5066556453</v>
      </c>
      <c r="H73" s="348">
        <f>SUM(H17:H72)</f>
        <v>1088682.5066556453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21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39805.169882695685</v>
      </c>
      <c r="N87" s="508">
        <f>IF(J92&lt;D11,0,VLOOKUP(J92,C17:O72,11))</f>
        <v>39805.169882695685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40602.794226516286</v>
      </c>
      <c r="N88" s="512">
        <f>IF(J92&lt;D11,0,VLOOKUP(J92,C99:P154,7))</f>
        <v>40602.794226516286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Darlington-Roman Nose 138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797.62434382060019</v>
      </c>
      <c r="N89" s="517">
        <f>+N88-N87</f>
        <v>797.62434382060019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TP2015027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330872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8484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3596</v>
      </c>
      <c r="F99" s="584">
        <v>327228</v>
      </c>
      <c r="G99" s="608">
        <v>163614</v>
      </c>
      <c r="H99" s="587">
        <v>24350.848452847567</v>
      </c>
      <c r="I99" s="607">
        <v>24350.848452847567</v>
      </c>
      <c r="J99" s="478">
        <f t="shared" ref="J99:J130" si="15">+I99-H99</f>
        <v>0</v>
      </c>
      <c r="K99" s="478"/>
      <c r="L99" s="477">
        <f>+H99</f>
        <v>24350.848452847567</v>
      </c>
      <c r="M99" s="477">
        <f t="shared" ref="M99:M130" si="16">IF(L99&lt;&gt;0,+H99-L99,0)</f>
        <v>0</v>
      </c>
      <c r="N99" s="477">
        <f>+I99</f>
        <v>24350.848452847567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84">
        <v>327228</v>
      </c>
      <c r="E100" s="585">
        <v>7694</v>
      </c>
      <c r="F100" s="586">
        <v>319534</v>
      </c>
      <c r="G100" s="586">
        <v>323381</v>
      </c>
      <c r="H100" s="606">
        <v>40916.73033605556</v>
      </c>
      <c r="I100" s="607">
        <v>40916.73033605556</v>
      </c>
      <c r="J100" s="478">
        <f t="shared" si="15"/>
        <v>0</v>
      </c>
      <c r="K100" s="478"/>
      <c r="L100" s="476">
        <f>H100</f>
        <v>40916.73033605556</v>
      </c>
      <c r="M100" s="349">
        <f>IF(L100&lt;&gt;0,+H100-L100,0)</f>
        <v>0</v>
      </c>
      <c r="N100" s="476">
        <f>I100</f>
        <v>40916.73033605556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9">IF(D101=F100,"","IU")</f>
        <v>IU</v>
      </c>
      <c r="C101" s="472">
        <f>IF(D93="","-",+C100+1)</f>
        <v>2019</v>
      </c>
      <c r="D101" s="584">
        <v>319582</v>
      </c>
      <c r="E101" s="585">
        <v>8070</v>
      </c>
      <c r="F101" s="586">
        <v>311512</v>
      </c>
      <c r="G101" s="586">
        <v>315547</v>
      </c>
      <c r="H101" s="606">
        <v>40607.321587664657</v>
      </c>
      <c r="I101" s="607">
        <v>40607.321587664657</v>
      </c>
      <c r="J101" s="478">
        <f t="shared" si="15"/>
        <v>0</v>
      </c>
      <c r="K101" s="478"/>
      <c r="L101" s="476">
        <f>H101</f>
        <v>40607.321587664657</v>
      </c>
      <c r="M101" s="349">
        <f>IF(L101&lt;&gt;0,+H101-L101,0)</f>
        <v>0</v>
      </c>
      <c r="N101" s="476">
        <f>I101</f>
        <v>40607.321587664657</v>
      </c>
      <c r="O101" s="478">
        <f t="shared" si="17"/>
        <v>0</v>
      </c>
      <c r="P101" s="478">
        <f t="shared" si="18"/>
        <v>0</v>
      </c>
    </row>
    <row r="102" spans="1:16">
      <c r="B102" s="160" t="str">
        <f t="shared" si="19"/>
        <v/>
      </c>
      <c r="C102" s="472">
        <f>IF(D93="","-",+C101+1)</f>
        <v>2020</v>
      </c>
      <c r="D102" s="584">
        <v>311512</v>
      </c>
      <c r="E102" s="585">
        <v>7695</v>
      </c>
      <c r="F102" s="586">
        <v>303817</v>
      </c>
      <c r="G102" s="586">
        <v>307664.5</v>
      </c>
      <c r="H102" s="606">
        <v>43167.870996202138</v>
      </c>
      <c r="I102" s="607">
        <v>43167.870996202138</v>
      </c>
      <c r="J102" s="478">
        <f t="shared" si="15"/>
        <v>0</v>
      </c>
      <c r="K102" s="478"/>
      <c r="L102" s="476">
        <f>H102</f>
        <v>43167.870996202138</v>
      </c>
      <c r="M102" s="349">
        <f>IF(L102&lt;&gt;0,+H102-L102,0)</f>
        <v>0</v>
      </c>
      <c r="N102" s="476">
        <f>I102</f>
        <v>43167.870996202138</v>
      </c>
      <c r="O102" s="478">
        <f t="shared" si="17"/>
        <v>0</v>
      </c>
      <c r="P102" s="478">
        <f t="shared" si="18"/>
        <v>0</v>
      </c>
    </row>
    <row r="103" spans="1:16">
      <c r="B103" s="160" t="str">
        <f t="shared" si="19"/>
        <v/>
      </c>
      <c r="C103" s="472">
        <f>IF(D93="","-",+C102+1)</f>
        <v>2021</v>
      </c>
      <c r="D103" s="584">
        <v>303817</v>
      </c>
      <c r="E103" s="585">
        <v>8070</v>
      </c>
      <c r="F103" s="586">
        <v>295747</v>
      </c>
      <c r="G103" s="586">
        <v>299782</v>
      </c>
      <c r="H103" s="606">
        <v>42183.031080558285</v>
      </c>
      <c r="I103" s="607">
        <v>42183.031080558285</v>
      </c>
      <c r="J103" s="478">
        <f t="shared" si="15"/>
        <v>0</v>
      </c>
      <c r="K103" s="478"/>
      <c r="L103" s="476">
        <f>H103</f>
        <v>42183.031080558285</v>
      </c>
      <c r="M103" s="349">
        <f>IF(L103&lt;&gt;0,+H103-L103,0)</f>
        <v>0</v>
      </c>
      <c r="N103" s="476">
        <f>I103</f>
        <v>42183.031080558285</v>
      </c>
      <c r="O103" s="478">
        <f t="shared" si="17"/>
        <v>0</v>
      </c>
      <c r="P103" s="478">
        <f t="shared" si="18"/>
        <v>0</v>
      </c>
    </row>
    <row r="104" spans="1:16">
      <c r="B104" s="160" t="str">
        <f t="shared" si="19"/>
        <v/>
      </c>
      <c r="C104" s="472">
        <f>IF(D93="","-",+C103+1)</f>
        <v>2022</v>
      </c>
      <c r="D104" s="347">
        <f>IF(F103+SUM(E$99:E103)=D$92,F103,D$92-SUM(E$99:E103))</f>
        <v>295747</v>
      </c>
      <c r="E104" s="484">
        <f t="shared" ref="E104:E154" si="20">IF(+J$96&lt;F103,J$96,D104)</f>
        <v>8484</v>
      </c>
      <c r="F104" s="485">
        <f t="shared" ref="F104:F154" si="21">+D104-E104</f>
        <v>287263</v>
      </c>
      <c r="G104" s="485">
        <f t="shared" ref="G104:G154" si="22">+(F104+D104)/2</f>
        <v>291505</v>
      </c>
      <c r="H104" s="486">
        <f t="shared" ref="H104:H153" si="23">(D104+F104)/2*J$94+E104</f>
        <v>40602.794226516286</v>
      </c>
      <c r="I104" s="542">
        <f t="shared" ref="I104:I153" si="24">+J$95*G104+E104</f>
        <v>40602.794226516286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>
      <c r="B105" s="160" t="str">
        <f t="shared" si="19"/>
        <v/>
      </c>
      <c r="C105" s="472">
        <f>IF(D93="","-",+C104+1)</f>
        <v>2023</v>
      </c>
      <c r="D105" s="347">
        <f>IF(F104+SUM(E$99:E104)=D$92,F104,D$92-SUM(E$99:E104))</f>
        <v>287263</v>
      </c>
      <c r="E105" s="484">
        <f t="shared" si="20"/>
        <v>8484</v>
      </c>
      <c r="F105" s="485">
        <f t="shared" si="21"/>
        <v>278779</v>
      </c>
      <c r="G105" s="485">
        <f t="shared" si="22"/>
        <v>283021</v>
      </c>
      <c r="H105" s="486">
        <f t="shared" si="23"/>
        <v>39668.004599519278</v>
      </c>
      <c r="I105" s="542">
        <f t="shared" si="24"/>
        <v>39668.004599519278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>
      <c r="B106" s="160" t="str">
        <f t="shared" si="19"/>
        <v/>
      </c>
      <c r="C106" s="472">
        <f>IF(D93="","-",+C105+1)</f>
        <v>2024</v>
      </c>
      <c r="D106" s="347">
        <f>IF(F105+SUM(E$99:E105)=D$92,F105,D$92-SUM(E$99:E105))</f>
        <v>278779</v>
      </c>
      <c r="E106" s="484">
        <f t="shared" si="20"/>
        <v>8484</v>
      </c>
      <c r="F106" s="485">
        <f t="shared" si="21"/>
        <v>270295</v>
      </c>
      <c r="G106" s="485">
        <f t="shared" si="22"/>
        <v>274537</v>
      </c>
      <c r="H106" s="486">
        <f t="shared" si="23"/>
        <v>38733.214972522263</v>
      </c>
      <c r="I106" s="542">
        <f t="shared" si="24"/>
        <v>38733.214972522263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>
      <c r="B107" s="160" t="str">
        <f t="shared" si="19"/>
        <v/>
      </c>
      <c r="C107" s="472">
        <f>IF(D93="","-",+C106+1)</f>
        <v>2025</v>
      </c>
      <c r="D107" s="347">
        <f>IF(F106+SUM(E$99:E106)=D$92,F106,D$92-SUM(E$99:E106))</f>
        <v>270295</v>
      </c>
      <c r="E107" s="484">
        <f t="shared" si="20"/>
        <v>8484</v>
      </c>
      <c r="F107" s="485">
        <f t="shared" si="21"/>
        <v>261811</v>
      </c>
      <c r="G107" s="485">
        <f t="shared" si="22"/>
        <v>266053</v>
      </c>
      <c r="H107" s="486">
        <f t="shared" si="23"/>
        <v>37798.425345525247</v>
      </c>
      <c r="I107" s="542">
        <f t="shared" si="24"/>
        <v>37798.425345525247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>
      <c r="B108" s="160" t="str">
        <f t="shared" si="19"/>
        <v/>
      </c>
      <c r="C108" s="472">
        <f>IF(D93="","-",+C107+1)</f>
        <v>2026</v>
      </c>
      <c r="D108" s="347">
        <f>IF(F107+SUM(E$99:E107)=D$92,F107,D$92-SUM(E$99:E107))</f>
        <v>261811</v>
      </c>
      <c r="E108" s="484">
        <f t="shared" si="20"/>
        <v>8484</v>
      </c>
      <c r="F108" s="485">
        <f t="shared" si="21"/>
        <v>253327</v>
      </c>
      <c r="G108" s="485">
        <f t="shared" si="22"/>
        <v>257569</v>
      </c>
      <c r="H108" s="486">
        <f t="shared" si="23"/>
        <v>36863.63571852824</v>
      </c>
      <c r="I108" s="542">
        <f t="shared" si="24"/>
        <v>36863.63571852824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>
      <c r="B109" s="160" t="str">
        <f t="shared" si="19"/>
        <v/>
      </c>
      <c r="C109" s="472">
        <f>IF(D93="","-",+C108+1)</f>
        <v>2027</v>
      </c>
      <c r="D109" s="347">
        <f>IF(F108+SUM(E$99:E108)=D$92,F108,D$92-SUM(E$99:E108))</f>
        <v>253327</v>
      </c>
      <c r="E109" s="484">
        <f t="shared" si="20"/>
        <v>8484</v>
      </c>
      <c r="F109" s="485">
        <f t="shared" si="21"/>
        <v>244843</v>
      </c>
      <c r="G109" s="485">
        <f t="shared" si="22"/>
        <v>249085</v>
      </c>
      <c r="H109" s="486">
        <f t="shared" si="23"/>
        <v>35928.846091531224</v>
      </c>
      <c r="I109" s="542">
        <f t="shared" si="24"/>
        <v>35928.846091531224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>
      <c r="B110" s="160" t="str">
        <f t="shared" si="19"/>
        <v/>
      </c>
      <c r="C110" s="472">
        <f>IF(D93="","-",+C109+1)</f>
        <v>2028</v>
      </c>
      <c r="D110" s="347">
        <f>IF(F109+SUM(E$99:E109)=D$92,F109,D$92-SUM(E$99:E109))</f>
        <v>244843</v>
      </c>
      <c r="E110" s="484">
        <f t="shared" si="20"/>
        <v>8484</v>
      </c>
      <c r="F110" s="485">
        <f t="shared" si="21"/>
        <v>236359</v>
      </c>
      <c r="G110" s="485">
        <f t="shared" si="22"/>
        <v>240601</v>
      </c>
      <c r="H110" s="486">
        <f t="shared" si="23"/>
        <v>34994.056464534209</v>
      </c>
      <c r="I110" s="542">
        <f t="shared" si="24"/>
        <v>34994.056464534209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>
      <c r="B111" s="160" t="str">
        <f t="shared" si="19"/>
        <v/>
      </c>
      <c r="C111" s="472">
        <f>IF(D93="","-",+C110+1)</f>
        <v>2029</v>
      </c>
      <c r="D111" s="347">
        <f>IF(F110+SUM(E$99:E110)=D$92,F110,D$92-SUM(E$99:E110))</f>
        <v>236359</v>
      </c>
      <c r="E111" s="484">
        <f t="shared" si="20"/>
        <v>8484</v>
      </c>
      <c r="F111" s="485">
        <f t="shared" si="21"/>
        <v>227875</v>
      </c>
      <c r="G111" s="485">
        <f t="shared" si="22"/>
        <v>232117</v>
      </c>
      <c r="H111" s="486">
        <f t="shared" si="23"/>
        <v>34059.266837537201</v>
      </c>
      <c r="I111" s="542">
        <f t="shared" si="24"/>
        <v>34059.266837537201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>
      <c r="B112" s="160" t="str">
        <f t="shared" si="19"/>
        <v/>
      </c>
      <c r="C112" s="472">
        <f>IF(D93="","-",+C111+1)</f>
        <v>2030</v>
      </c>
      <c r="D112" s="347">
        <f>IF(F111+SUM(E$99:E111)=D$92,F111,D$92-SUM(E$99:E111))</f>
        <v>227875</v>
      </c>
      <c r="E112" s="484">
        <f t="shared" si="20"/>
        <v>8484</v>
      </c>
      <c r="F112" s="485">
        <f t="shared" si="21"/>
        <v>219391</v>
      </c>
      <c r="G112" s="485">
        <f t="shared" si="22"/>
        <v>223633</v>
      </c>
      <c r="H112" s="486">
        <f t="shared" si="23"/>
        <v>33124.477210540186</v>
      </c>
      <c r="I112" s="542">
        <f t="shared" si="24"/>
        <v>33124.477210540186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>
      <c r="B113" s="160" t="str">
        <f t="shared" si="19"/>
        <v/>
      </c>
      <c r="C113" s="472">
        <f>IF(D93="","-",+C112+1)</f>
        <v>2031</v>
      </c>
      <c r="D113" s="347">
        <f>IF(F112+SUM(E$99:E112)=D$92,F112,D$92-SUM(E$99:E112))</f>
        <v>219391</v>
      </c>
      <c r="E113" s="484">
        <f t="shared" si="20"/>
        <v>8484</v>
      </c>
      <c r="F113" s="485">
        <f t="shared" si="21"/>
        <v>210907</v>
      </c>
      <c r="G113" s="485">
        <f t="shared" si="22"/>
        <v>215149</v>
      </c>
      <c r="H113" s="486">
        <f t="shared" si="23"/>
        <v>32189.687583543175</v>
      </c>
      <c r="I113" s="542">
        <f t="shared" si="24"/>
        <v>32189.687583543175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>
      <c r="B114" s="160" t="str">
        <f t="shared" si="19"/>
        <v/>
      </c>
      <c r="C114" s="472">
        <f>IF(D93="","-",+C113+1)</f>
        <v>2032</v>
      </c>
      <c r="D114" s="347">
        <f>IF(F113+SUM(E$99:E113)=D$92,F113,D$92-SUM(E$99:E113))</f>
        <v>210907</v>
      </c>
      <c r="E114" s="484">
        <f t="shared" si="20"/>
        <v>8484</v>
      </c>
      <c r="F114" s="485">
        <f t="shared" si="21"/>
        <v>202423</v>
      </c>
      <c r="G114" s="485">
        <f t="shared" si="22"/>
        <v>206665</v>
      </c>
      <c r="H114" s="486">
        <f t="shared" si="23"/>
        <v>31254.897956546163</v>
      </c>
      <c r="I114" s="542">
        <f t="shared" si="24"/>
        <v>31254.897956546163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>
      <c r="B115" s="160" t="str">
        <f t="shared" si="19"/>
        <v/>
      </c>
      <c r="C115" s="472">
        <f>IF(D93="","-",+C114+1)</f>
        <v>2033</v>
      </c>
      <c r="D115" s="347">
        <f>IF(F114+SUM(E$99:E114)=D$92,F114,D$92-SUM(E$99:E114))</f>
        <v>202423</v>
      </c>
      <c r="E115" s="484">
        <f t="shared" si="20"/>
        <v>8484</v>
      </c>
      <c r="F115" s="485">
        <f t="shared" si="21"/>
        <v>193939</v>
      </c>
      <c r="G115" s="485">
        <f t="shared" si="22"/>
        <v>198181</v>
      </c>
      <c r="H115" s="486">
        <f t="shared" si="23"/>
        <v>30320.108329549148</v>
      </c>
      <c r="I115" s="542">
        <f t="shared" si="24"/>
        <v>30320.108329549148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>
      <c r="B116" s="160" t="str">
        <f t="shared" si="19"/>
        <v/>
      </c>
      <c r="C116" s="472">
        <f>IF(D93="","-",+C115+1)</f>
        <v>2034</v>
      </c>
      <c r="D116" s="347">
        <f>IF(F115+SUM(E$99:E115)=D$92,F115,D$92-SUM(E$99:E115))</f>
        <v>193939</v>
      </c>
      <c r="E116" s="484">
        <f t="shared" si="20"/>
        <v>8484</v>
      </c>
      <c r="F116" s="485">
        <f t="shared" si="21"/>
        <v>185455</v>
      </c>
      <c r="G116" s="485">
        <f t="shared" si="22"/>
        <v>189697</v>
      </c>
      <c r="H116" s="486">
        <f t="shared" si="23"/>
        <v>29385.318702552137</v>
      </c>
      <c r="I116" s="542">
        <f t="shared" si="24"/>
        <v>29385.318702552137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>
      <c r="B117" s="160" t="str">
        <f t="shared" si="19"/>
        <v/>
      </c>
      <c r="C117" s="472">
        <f>IF(D93="","-",+C116+1)</f>
        <v>2035</v>
      </c>
      <c r="D117" s="347">
        <f>IF(F116+SUM(E$99:E116)=D$92,F116,D$92-SUM(E$99:E116))</f>
        <v>185455</v>
      </c>
      <c r="E117" s="484">
        <f t="shared" si="20"/>
        <v>8484</v>
      </c>
      <c r="F117" s="485">
        <f t="shared" si="21"/>
        <v>176971</v>
      </c>
      <c r="G117" s="485">
        <f t="shared" si="22"/>
        <v>181213</v>
      </c>
      <c r="H117" s="486">
        <f t="shared" si="23"/>
        <v>28450.529075555125</v>
      </c>
      <c r="I117" s="542">
        <f t="shared" si="24"/>
        <v>28450.529075555125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>
      <c r="B118" s="160" t="str">
        <f t="shared" si="19"/>
        <v/>
      </c>
      <c r="C118" s="472">
        <f>IF(D93="","-",+C117+1)</f>
        <v>2036</v>
      </c>
      <c r="D118" s="347">
        <f>IF(F117+SUM(E$99:E117)=D$92,F117,D$92-SUM(E$99:E117))</f>
        <v>176971</v>
      </c>
      <c r="E118" s="484">
        <f t="shared" si="20"/>
        <v>8484</v>
      </c>
      <c r="F118" s="485">
        <f t="shared" si="21"/>
        <v>168487</v>
      </c>
      <c r="G118" s="485">
        <f t="shared" si="22"/>
        <v>172729</v>
      </c>
      <c r="H118" s="486">
        <f t="shared" si="23"/>
        <v>27515.73944855811</v>
      </c>
      <c r="I118" s="542">
        <f t="shared" si="24"/>
        <v>27515.73944855811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>
      <c r="B119" s="160" t="str">
        <f t="shared" si="19"/>
        <v/>
      </c>
      <c r="C119" s="472">
        <f>IF(D93="","-",+C118+1)</f>
        <v>2037</v>
      </c>
      <c r="D119" s="347">
        <f>IF(F118+SUM(E$99:E118)=D$92,F118,D$92-SUM(E$99:E118))</f>
        <v>168487</v>
      </c>
      <c r="E119" s="484">
        <f t="shared" si="20"/>
        <v>8484</v>
      </c>
      <c r="F119" s="485">
        <f t="shared" si="21"/>
        <v>160003</v>
      </c>
      <c r="G119" s="485">
        <f t="shared" si="22"/>
        <v>164245</v>
      </c>
      <c r="H119" s="486">
        <f t="shared" si="23"/>
        <v>26580.949821561098</v>
      </c>
      <c r="I119" s="542">
        <f t="shared" si="24"/>
        <v>26580.949821561098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>
      <c r="B120" s="160" t="str">
        <f t="shared" si="19"/>
        <v/>
      </c>
      <c r="C120" s="472">
        <f>IF(D93="","-",+C119+1)</f>
        <v>2038</v>
      </c>
      <c r="D120" s="347">
        <f>IF(F119+SUM(E$99:E119)=D$92,F119,D$92-SUM(E$99:E119))</f>
        <v>160003</v>
      </c>
      <c r="E120" s="484">
        <f t="shared" si="20"/>
        <v>8484</v>
      </c>
      <c r="F120" s="485">
        <f t="shared" si="21"/>
        <v>151519</v>
      </c>
      <c r="G120" s="485">
        <f t="shared" si="22"/>
        <v>155761</v>
      </c>
      <c r="H120" s="486">
        <f t="shared" si="23"/>
        <v>25646.160194564087</v>
      </c>
      <c r="I120" s="542">
        <f t="shared" si="24"/>
        <v>25646.160194564087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>
      <c r="B121" s="160" t="str">
        <f t="shared" si="19"/>
        <v/>
      </c>
      <c r="C121" s="472">
        <f>IF(D93="","-",+C120+1)</f>
        <v>2039</v>
      </c>
      <c r="D121" s="347">
        <f>IF(F120+SUM(E$99:E120)=D$92,F120,D$92-SUM(E$99:E120))</f>
        <v>151519</v>
      </c>
      <c r="E121" s="484">
        <f t="shared" si="20"/>
        <v>8484</v>
      </c>
      <c r="F121" s="485">
        <f t="shared" si="21"/>
        <v>143035</v>
      </c>
      <c r="G121" s="485">
        <f t="shared" si="22"/>
        <v>147277</v>
      </c>
      <c r="H121" s="486">
        <f t="shared" si="23"/>
        <v>24711.370567567072</v>
      </c>
      <c r="I121" s="542">
        <f t="shared" si="24"/>
        <v>24711.370567567072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>
      <c r="B122" s="160" t="str">
        <f t="shared" si="19"/>
        <v/>
      </c>
      <c r="C122" s="472">
        <f>IF(D93="","-",+C121+1)</f>
        <v>2040</v>
      </c>
      <c r="D122" s="347">
        <f>IF(F121+SUM(E$99:E121)=D$92,F121,D$92-SUM(E$99:E121))</f>
        <v>143035</v>
      </c>
      <c r="E122" s="484">
        <f t="shared" si="20"/>
        <v>8484</v>
      </c>
      <c r="F122" s="485">
        <f t="shared" si="21"/>
        <v>134551</v>
      </c>
      <c r="G122" s="485">
        <f t="shared" si="22"/>
        <v>138793</v>
      </c>
      <c r="H122" s="486">
        <f t="shared" si="23"/>
        <v>23776.58094057006</v>
      </c>
      <c r="I122" s="542">
        <f t="shared" si="24"/>
        <v>23776.58094057006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>
      <c r="B123" s="160" t="str">
        <f t="shared" si="19"/>
        <v/>
      </c>
      <c r="C123" s="472">
        <f>IF(D93="","-",+C122+1)</f>
        <v>2041</v>
      </c>
      <c r="D123" s="347">
        <f>IF(F122+SUM(E$99:E122)=D$92,F122,D$92-SUM(E$99:E122))</f>
        <v>134551</v>
      </c>
      <c r="E123" s="484">
        <f t="shared" si="20"/>
        <v>8484</v>
      </c>
      <c r="F123" s="485">
        <f t="shared" si="21"/>
        <v>126067</v>
      </c>
      <c r="G123" s="485">
        <f t="shared" si="22"/>
        <v>130309</v>
      </c>
      <c r="H123" s="486">
        <f t="shared" si="23"/>
        <v>22841.791313573049</v>
      </c>
      <c r="I123" s="542">
        <f t="shared" si="24"/>
        <v>22841.791313573049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>
      <c r="B124" s="160" t="str">
        <f t="shared" si="19"/>
        <v/>
      </c>
      <c r="C124" s="472">
        <f>IF(D93="","-",+C123+1)</f>
        <v>2042</v>
      </c>
      <c r="D124" s="347">
        <f>IF(F123+SUM(E$99:E123)=D$92,F123,D$92-SUM(E$99:E123))</f>
        <v>126067</v>
      </c>
      <c r="E124" s="484">
        <f t="shared" si="20"/>
        <v>8484</v>
      </c>
      <c r="F124" s="485">
        <f t="shared" si="21"/>
        <v>117583</v>
      </c>
      <c r="G124" s="485">
        <f t="shared" si="22"/>
        <v>121825</v>
      </c>
      <c r="H124" s="486">
        <f t="shared" si="23"/>
        <v>21907.001686576034</v>
      </c>
      <c r="I124" s="542">
        <f t="shared" si="24"/>
        <v>21907.001686576034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>
      <c r="B125" s="160" t="str">
        <f t="shared" si="19"/>
        <v/>
      </c>
      <c r="C125" s="472">
        <f>IF(D93="","-",+C124+1)</f>
        <v>2043</v>
      </c>
      <c r="D125" s="347">
        <f>IF(F124+SUM(E$99:E124)=D$92,F124,D$92-SUM(E$99:E124))</f>
        <v>117583</v>
      </c>
      <c r="E125" s="484">
        <f t="shared" si="20"/>
        <v>8484</v>
      </c>
      <c r="F125" s="485">
        <f t="shared" si="21"/>
        <v>109099</v>
      </c>
      <c r="G125" s="485">
        <f t="shared" si="22"/>
        <v>113341</v>
      </c>
      <c r="H125" s="486">
        <f t="shared" si="23"/>
        <v>20972.212059579022</v>
      </c>
      <c r="I125" s="542">
        <f t="shared" si="24"/>
        <v>20972.212059579022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>
      <c r="B126" s="160" t="str">
        <f t="shared" si="19"/>
        <v/>
      </c>
      <c r="C126" s="472">
        <f>IF(D93="","-",+C125+1)</f>
        <v>2044</v>
      </c>
      <c r="D126" s="347">
        <f>IF(F125+SUM(E$99:E125)=D$92,F125,D$92-SUM(E$99:E125))</f>
        <v>109099</v>
      </c>
      <c r="E126" s="484">
        <f t="shared" si="20"/>
        <v>8484</v>
      </c>
      <c r="F126" s="485">
        <f t="shared" si="21"/>
        <v>100615</v>
      </c>
      <c r="G126" s="485">
        <f t="shared" si="22"/>
        <v>104857</v>
      </c>
      <c r="H126" s="486">
        <f t="shared" si="23"/>
        <v>20037.422432582011</v>
      </c>
      <c r="I126" s="542">
        <f t="shared" si="24"/>
        <v>20037.422432582011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>
      <c r="B127" s="160" t="str">
        <f t="shared" si="19"/>
        <v/>
      </c>
      <c r="C127" s="472">
        <f>IF(D93="","-",+C126+1)</f>
        <v>2045</v>
      </c>
      <c r="D127" s="347">
        <f>IF(F126+SUM(E$99:E126)=D$92,F126,D$92-SUM(E$99:E126))</f>
        <v>100615</v>
      </c>
      <c r="E127" s="484">
        <f t="shared" si="20"/>
        <v>8484</v>
      </c>
      <c r="F127" s="485">
        <f t="shared" si="21"/>
        <v>92131</v>
      </c>
      <c r="G127" s="485">
        <f t="shared" si="22"/>
        <v>96373</v>
      </c>
      <c r="H127" s="486">
        <f t="shared" si="23"/>
        <v>19102.632805584995</v>
      </c>
      <c r="I127" s="542">
        <f t="shared" si="24"/>
        <v>19102.632805584995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>
      <c r="B128" s="160" t="str">
        <f t="shared" si="19"/>
        <v/>
      </c>
      <c r="C128" s="472">
        <f>IF(D93="","-",+C127+1)</f>
        <v>2046</v>
      </c>
      <c r="D128" s="347">
        <f>IF(F127+SUM(E$99:E127)=D$92,F127,D$92-SUM(E$99:E127))</f>
        <v>92131</v>
      </c>
      <c r="E128" s="484">
        <f t="shared" si="20"/>
        <v>8484</v>
      </c>
      <c r="F128" s="485">
        <f t="shared" si="21"/>
        <v>83647</v>
      </c>
      <c r="G128" s="485">
        <f t="shared" si="22"/>
        <v>87889</v>
      </c>
      <c r="H128" s="486">
        <f t="shared" si="23"/>
        <v>18167.843178587984</v>
      </c>
      <c r="I128" s="542">
        <f t="shared" si="24"/>
        <v>18167.843178587984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>
      <c r="B129" s="160" t="str">
        <f t="shared" si="19"/>
        <v/>
      </c>
      <c r="C129" s="472">
        <f>IF(D93="","-",+C128+1)</f>
        <v>2047</v>
      </c>
      <c r="D129" s="347">
        <f>IF(F128+SUM(E$99:E128)=D$92,F128,D$92-SUM(E$99:E128))</f>
        <v>83647</v>
      </c>
      <c r="E129" s="484">
        <f t="shared" si="20"/>
        <v>8484</v>
      </c>
      <c r="F129" s="485">
        <f t="shared" si="21"/>
        <v>75163</v>
      </c>
      <c r="G129" s="485">
        <f t="shared" si="22"/>
        <v>79405</v>
      </c>
      <c r="H129" s="486">
        <f t="shared" si="23"/>
        <v>17233.053551590972</v>
      </c>
      <c r="I129" s="542">
        <f t="shared" si="24"/>
        <v>17233.053551590972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>
      <c r="B130" s="160" t="str">
        <f t="shared" si="19"/>
        <v/>
      </c>
      <c r="C130" s="472">
        <f>IF(D93="","-",+C129+1)</f>
        <v>2048</v>
      </c>
      <c r="D130" s="347">
        <f>IF(F129+SUM(E$99:E129)=D$92,F129,D$92-SUM(E$99:E129))</f>
        <v>75163</v>
      </c>
      <c r="E130" s="484">
        <f t="shared" si="20"/>
        <v>8484</v>
      </c>
      <c r="F130" s="485">
        <f t="shared" si="21"/>
        <v>66679</v>
      </c>
      <c r="G130" s="485">
        <f t="shared" si="22"/>
        <v>70921</v>
      </c>
      <c r="H130" s="486">
        <f t="shared" si="23"/>
        <v>16298.263924593957</v>
      </c>
      <c r="I130" s="542">
        <f t="shared" si="24"/>
        <v>16298.263924593957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>
      <c r="B131" s="160" t="str">
        <f t="shared" si="19"/>
        <v/>
      </c>
      <c r="C131" s="472">
        <f>IF(D93="","-",+C130+1)</f>
        <v>2049</v>
      </c>
      <c r="D131" s="347">
        <f>IF(F130+SUM(E$99:E130)=D$92,F130,D$92-SUM(E$99:E130))</f>
        <v>66679</v>
      </c>
      <c r="E131" s="484">
        <f t="shared" si="20"/>
        <v>8484</v>
      </c>
      <c r="F131" s="485">
        <f t="shared" si="21"/>
        <v>58195</v>
      </c>
      <c r="G131" s="485">
        <f t="shared" si="22"/>
        <v>62437</v>
      </c>
      <c r="H131" s="486">
        <f t="shared" si="23"/>
        <v>15363.474297596946</v>
      </c>
      <c r="I131" s="542">
        <f t="shared" si="24"/>
        <v>15363.474297596946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9"/>
        <v/>
      </c>
      <c r="C132" s="472">
        <f>IF(D93="","-",+C131+1)</f>
        <v>2050</v>
      </c>
      <c r="D132" s="347">
        <f>IF(F131+SUM(E$99:E131)=D$92,F131,D$92-SUM(E$99:E131))</f>
        <v>58195</v>
      </c>
      <c r="E132" s="484">
        <f t="shared" si="20"/>
        <v>8484</v>
      </c>
      <c r="F132" s="485">
        <f t="shared" si="21"/>
        <v>49711</v>
      </c>
      <c r="G132" s="485">
        <f t="shared" si="22"/>
        <v>53953</v>
      </c>
      <c r="H132" s="486">
        <f t="shared" si="23"/>
        <v>14428.684670599932</v>
      </c>
      <c r="I132" s="542">
        <f t="shared" si="24"/>
        <v>14428.684670599932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9"/>
        <v/>
      </c>
      <c r="C133" s="472">
        <f>IF(D93="","-",+C132+1)</f>
        <v>2051</v>
      </c>
      <c r="D133" s="347">
        <f>IF(F132+SUM(E$99:E132)=D$92,F132,D$92-SUM(E$99:E132))</f>
        <v>49711</v>
      </c>
      <c r="E133" s="484">
        <f t="shared" si="20"/>
        <v>8484</v>
      </c>
      <c r="F133" s="485">
        <f t="shared" si="21"/>
        <v>41227</v>
      </c>
      <c r="G133" s="485">
        <f t="shared" si="22"/>
        <v>45469</v>
      </c>
      <c r="H133" s="486">
        <f t="shared" si="23"/>
        <v>13493.895043602919</v>
      </c>
      <c r="I133" s="542">
        <f t="shared" si="24"/>
        <v>13493.895043602919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9"/>
        <v/>
      </c>
      <c r="C134" s="472">
        <f>IF(D93="","-",+C133+1)</f>
        <v>2052</v>
      </c>
      <c r="D134" s="347">
        <f>IF(F133+SUM(E$99:E133)=D$92,F133,D$92-SUM(E$99:E133))</f>
        <v>41227</v>
      </c>
      <c r="E134" s="484">
        <f t="shared" si="20"/>
        <v>8484</v>
      </c>
      <c r="F134" s="485">
        <f t="shared" si="21"/>
        <v>32743</v>
      </c>
      <c r="G134" s="485">
        <f t="shared" si="22"/>
        <v>36985</v>
      </c>
      <c r="H134" s="486">
        <f t="shared" si="23"/>
        <v>12559.105416605908</v>
      </c>
      <c r="I134" s="542">
        <f t="shared" si="24"/>
        <v>12559.105416605908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9"/>
        <v/>
      </c>
      <c r="C135" s="472">
        <f>IF(D93="","-",+C134+1)</f>
        <v>2053</v>
      </c>
      <c r="D135" s="347">
        <f>IF(F134+SUM(E$99:E134)=D$92,F134,D$92-SUM(E$99:E134))</f>
        <v>32743</v>
      </c>
      <c r="E135" s="484">
        <f t="shared" si="20"/>
        <v>8484</v>
      </c>
      <c r="F135" s="485">
        <f t="shared" si="21"/>
        <v>24259</v>
      </c>
      <c r="G135" s="485">
        <f t="shared" si="22"/>
        <v>28501</v>
      </c>
      <c r="H135" s="486">
        <f t="shared" si="23"/>
        <v>11624.315789608894</v>
      </c>
      <c r="I135" s="542">
        <f t="shared" si="24"/>
        <v>11624.315789608894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9"/>
        <v/>
      </c>
      <c r="C136" s="472">
        <f>IF(D93="","-",+C135+1)</f>
        <v>2054</v>
      </c>
      <c r="D136" s="347">
        <f>IF(F135+SUM(E$99:E135)=D$92,F135,D$92-SUM(E$99:E135))</f>
        <v>24259</v>
      </c>
      <c r="E136" s="484">
        <f t="shared" si="20"/>
        <v>8484</v>
      </c>
      <c r="F136" s="485">
        <f t="shared" si="21"/>
        <v>15775</v>
      </c>
      <c r="G136" s="485">
        <f t="shared" si="22"/>
        <v>20017</v>
      </c>
      <c r="H136" s="486">
        <f t="shared" si="23"/>
        <v>10689.526162611881</v>
      </c>
      <c r="I136" s="542">
        <f t="shared" si="24"/>
        <v>10689.526162611881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9"/>
        <v/>
      </c>
      <c r="C137" s="472">
        <f>IF(D93="","-",+C136+1)</f>
        <v>2055</v>
      </c>
      <c r="D137" s="347">
        <f>IF(F136+SUM(E$99:E136)=D$92,F136,D$92-SUM(E$99:E136))</f>
        <v>15775</v>
      </c>
      <c r="E137" s="484">
        <f t="shared" si="20"/>
        <v>8484</v>
      </c>
      <c r="F137" s="485">
        <f t="shared" si="21"/>
        <v>7291</v>
      </c>
      <c r="G137" s="485">
        <f t="shared" si="22"/>
        <v>11533</v>
      </c>
      <c r="H137" s="486">
        <f t="shared" si="23"/>
        <v>9754.7365356148694</v>
      </c>
      <c r="I137" s="542">
        <f t="shared" si="24"/>
        <v>9754.7365356148694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9"/>
        <v/>
      </c>
      <c r="C138" s="472">
        <f>IF(D93="","-",+C137+1)</f>
        <v>2056</v>
      </c>
      <c r="D138" s="347">
        <f>IF(F137+SUM(E$99:E137)=D$92,F137,D$92-SUM(E$99:E137))</f>
        <v>7291</v>
      </c>
      <c r="E138" s="484">
        <f t="shared" si="20"/>
        <v>7291</v>
      </c>
      <c r="F138" s="485">
        <f t="shared" si="21"/>
        <v>0</v>
      </c>
      <c r="G138" s="485">
        <f t="shared" si="22"/>
        <v>3645.5</v>
      </c>
      <c r="H138" s="486">
        <f t="shared" si="23"/>
        <v>7692.6708610581809</v>
      </c>
      <c r="I138" s="542">
        <f t="shared" si="24"/>
        <v>7692.6708610581809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9"/>
        <v/>
      </c>
      <c r="C139" s="472">
        <f>IF(D93="","-",+C138+1)</f>
        <v>2057</v>
      </c>
      <c r="D139" s="347">
        <f>IF(F138+SUM(E$99:E138)=D$92,F138,D$92-SUM(E$99:E138))</f>
        <v>0</v>
      </c>
      <c r="E139" s="484">
        <f t="shared" si="20"/>
        <v>0</v>
      </c>
      <c r="F139" s="485">
        <f t="shared" si="21"/>
        <v>0</v>
      </c>
      <c r="G139" s="485">
        <f t="shared" si="22"/>
        <v>0</v>
      </c>
      <c r="H139" s="486">
        <f t="shared" si="23"/>
        <v>0</v>
      </c>
      <c r="I139" s="542">
        <f t="shared" si="24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9"/>
        <v/>
      </c>
      <c r="C140" s="472">
        <f>IF(D93="","-",+C139+1)</f>
        <v>2058</v>
      </c>
      <c r="D140" s="347">
        <f>IF(F139+SUM(E$99:E139)=D$92,F139,D$92-SUM(E$99:E139))</f>
        <v>0</v>
      </c>
      <c r="E140" s="484">
        <f t="shared" si="20"/>
        <v>0</v>
      </c>
      <c r="F140" s="485">
        <f t="shared" si="21"/>
        <v>0</v>
      </c>
      <c r="G140" s="485">
        <f t="shared" si="22"/>
        <v>0</v>
      </c>
      <c r="H140" s="486">
        <f t="shared" si="23"/>
        <v>0</v>
      </c>
      <c r="I140" s="542">
        <f t="shared" si="24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9"/>
        <v/>
      </c>
      <c r="C141" s="472">
        <f>IF(D93="","-",+C140+1)</f>
        <v>2059</v>
      </c>
      <c r="D141" s="347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486">
        <f t="shared" si="23"/>
        <v>0</v>
      </c>
      <c r="I141" s="542">
        <f t="shared" si="24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9"/>
        <v/>
      </c>
      <c r="C142" s="472">
        <f>IF(D93="","-",+C141+1)</f>
        <v>2060</v>
      </c>
      <c r="D142" s="347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486">
        <f t="shared" si="23"/>
        <v>0</v>
      </c>
      <c r="I142" s="542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9"/>
        <v/>
      </c>
      <c r="C143" s="472">
        <f>IF(D93="","-",+C142+1)</f>
        <v>2061</v>
      </c>
      <c r="D143" s="347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486">
        <f t="shared" si="23"/>
        <v>0</v>
      </c>
      <c r="I143" s="542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9"/>
        <v/>
      </c>
      <c r="C144" s="472">
        <f>IF(D93="","-",+C143+1)</f>
        <v>2062</v>
      </c>
      <c r="D144" s="347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486">
        <f t="shared" si="23"/>
        <v>0</v>
      </c>
      <c r="I144" s="542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9"/>
        <v/>
      </c>
      <c r="C145" s="472">
        <f>IF(D93="","-",+C144+1)</f>
        <v>2063</v>
      </c>
      <c r="D145" s="347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486">
        <f t="shared" si="23"/>
        <v>0</v>
      </c>
      <c r="I145" s="542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9"/>
        <v/>
      </c>
      <c r="C146" s="472">
        <f>IF(D93="","-",+C145+1)</f>
        <v>2064</v>
      </c>
      <c r="D146" s="347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486">
        <f t="shared" si="23"/>
        <v>0</v>
      </c>
      <c r="I146" s="542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9"/>
        <v/>
      </c>
      <c r="C147" s="472">
        <f>IF(D93="","-",+C146+1)</f>
        <v>2065</v>
      </c>
      <c r="D147" s="347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486">
        <f t="shared" si="23"/>
        <v>0</v>
      </c>
      <c r="I147" s="542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9"/>
        <v/>
      </c>
      <c r="C148" s="472">
        <f>IF(D93="","-",+C147+1)</f>
        <v>2066</v>
      </c>
      <c r="D148" s="347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486">
        <f t="shared" si="23"/>
        <v>0</v>
      </c>
      <c r="I148" s="542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9"/>
        <v/>
      </c>
      <c r="C149" s="472">
        <f>IF(D93="","-",+C148+1)</f>
        <v>2067</v>
      </c>
      <c r="D149" s="347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486">
        <f t="shared" si="23"/>
        <v>0</v>
      </c>
      <c r="I149" s="542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9"/>
        <v/>
      </c>
      <c r="C150" s="472">
        <f>IF(D93="","-",+C149+1)</f>
        <v>2068</v>
      </c>
      <c r="D150" s="347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486">
        <f t="shared" si="23"/>
        <v>0</v>
      </c>
      <c r="I150" s="542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9"/>
        <v/>
      </c>
      <c r="C151" s="472">
        <f>IF(D93="","-",+C150+1)</f>
        <v>2069</v>
      </c>
      <c r="D151" s="347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486">
        <f t="shared" si="23"/>
        <v>0</v>
      </c>
      <c r="I151" s="542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9"/>
        <v/>
      </c>
      <c r="C152" s="472">
        <f>IF(D93="","-",+C151+1)</f>
        <v>2070</v>
      </c>
      <c r="D152" s="347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486">
        <f t="shared" si="23"/>
        <v>0</v>
      </c>
      <c r="I152" s="542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9"/>
        <v/>
      </c>
      <c r="C153" s="472">
        <f>IF(D93="","-",+C152+1)</f>
        <v>2071</v>
      </c>
      <c r="D153" s="347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486">
        <f t="shared" si="23"/>
        <v>0</v>
      </c>
      <c r="I153" s="542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9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330872</v>
      </c>
      <c r="F155" s="348"/>
      <c r="G155" s="348"/>
      <c r="H155" s="348">
        <f>SUM(H99:H154)</f>
        <v>1054996.4962706161</v>
      </c>
      <c r="I155" s="348">
        <f>SUM(I99:I154)</f>
        <v>1054996.4962706161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1"/>
  <dimension ref="A1:P162"/>
  <sheetViews>
    <sheetView view="pageBreakPreview" zoomScale="78" zoomScaleNormal="100" zoomScaleSheetLayoutView="78" workbookViewId="0">
      <selection activeCell="D94" sqref="D9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22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29614.266782481478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29614.266782481478</v>
      </c>
      <c r="O6" s="233"/>
      <c r="P6" s="233"/>
    </row>
    <row r="7" spans="1:16" ht="13.5" thickBot="1">
      <c r="C7" s="431" t="s">
        <v>46</v>
      </c>
      <c r="D7" s="599" t="s">
        <v>277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299</v>
      </c>
      <c r="E9" s="577" t="s">
        <v>300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244000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5809.5238095238092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2711.1111111111113</v>
      </c>
      <c r="F17" s="584">
        <v>241288.88888888888</v>
      </c>
      <c r="G17" s="608">
        <v>17159.361980055266</v>
      </c>
      <c r="H17" s="587">
        <v>17159.361980055266</v>
      </c>
      <c r="I17" s="475">
        <f t="shared" ref="I17:I72" si="0">H17-G17</f>
        <v>0</v>
      </c>
      <c r="J17" s="475"/>
      <c r="K17" s="554">
        <f>+G17</f>
        <v>17159.361980055266</v>
      </c>
      <c r="L17" s="477">
        <f t="shared" ref="L17:L72" si="1">IF(K17&lt;&gt;0,+G17-K17,0)</f>
        <v>0</v>
      </c>
      <c r="M17" s="554">
        <f>+H17</f>
        <v>17159.361980055266</v>
      </c>
      <c r="N17" s="477">
        <f t="shared" ref="N17:N72" si="2">IF(M17&lt;&gt;0,+H17-M17,0)</f>
        <v>0</v>
      </c>
      <c r="O17" s="478">
        <f t="shared" ref="O17:O72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241288.88888888888</v>
      </c>
      <c r="E18" s="585">
        <v>6100</v>
      </c>
      <c r="F18" s="584">
        <v>235188.88888888888</v>
      </c>
      <c r="G18" s="585">
        <v>32700.951777404996</v>
      </c>
      <c r="H18" s="587">
        <v>32700.951777404996</v>
      </c>
      <c r="I18" s="475">
        <f t="shared" si="0"/>
        <v>0</v>
      </c>
      <c r="J18" s="475"/>
      <c r="K18" s="478">
        <f>+G18</f>
        <v>32700.951777404996</v>
      </c>
      <c r="L18" s="478">
        <f t="shared" si="1"/>
        <v>0</v>
      </c>
      <c r="M18" s="478">
        <f>+H18</f>
        <v>32700.951777404996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235866.66666666666</v>
      </c>
      <c r="E19" s="585">
        <v>5809.5238095238092</v>
      </c>
      <c r="F19" s="584">
        <v>230057.14285714284</v>
      </c>
      <c r="G19" s="585">
        <v>30970.52236185109</v>
      </c>
      <c r="H19" s="587">
        <v>30970.52236185109</v>
      </c>
      <c r="I19" s="475">
        <f t="shared" si="0"/>
        <v>0</v>
      </c>
      <c r="J19" s="475"/>
      <c r="K19" s="478">
        <f>+G19</f>
        <v>30970.52236185109</v>
      </c>
      <c r="L19" s="478">
        <f t="shared" ref="L19" si="4">IF(K19&lt;&gt;0,+G19-K19,0)</f>
        <v>0</v>
      </c>
      <c r="M19" s="478">
        <f>+H19</f>
        <v>30970.52236185109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229379.36507936509</v>
      </c>
      <c r="E20" s="585">
        <v>5674.4186046511632</v>
      </c>
      <c r="F20" s="584">
        <v>223704.94647471391</v>
      </c>
      <c r="G20" s="585">
        <v>30100.568065113996</v>
      </c>
      <c r="H20" s="587">
        <v>30100.568065113996</v>
      </c>
      <c r="I20" s="475">
        <f t="shared" si="0"/>
        <v>0</v>
      </c>
      <c r="J20" s="475"/>
      <c r="K20" s="478">
        <f>+G20</f>
        <v>30100.568065113996</v>
      </c>
      <c r="L20" s="478">
        <f t="shared" ref="L20" si="6">IF(K20&lt;&gt;0,+G20-K20,0)</f>
        <v>0</v>
      </c>
      <c r="M20" s="478">
        <f>+H20</f>
        <v>30100.568065113996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5"/>
        <v/>
      </c>
      <c r="C21" s="472">
        <f>IF(D11="","-",+C20+1)</f>
        <v>2022</v>
      </c>
      <c r="D21" s="584">
        <v>223704.94647471391</v>
      </c>
      <c r="E21" s="585">
        <v>5809.5238095238092</v>
      </c>
      <c r="F21" s="584">
        <v>217895.4226651901</v>
      </c>
      <c r="G21" s="585">
        <v>29614.266782481478</v>
      </c>
      <c r="H21" s="587">
        <v>29614.266782481478</v>
      </c>
      <c r="I21" s="475">
        <f t="shared" si="0"/>
        <v>0</v>
      </c>
      <c r="J21" s="475"/>
      <c r="K21" s="478">
        <f>+G21</f>
        <v>29614.266782481478</v>
      </c>
      <c r="L21" s="478">
        <f t="shared" ref="L21" si="7">IF(K21&lt;&gt;0,+G21-K21,0)</f>
        <v>0</v>
      </c>
      <c r="M21" s="478">
        <f>+H21</f>
        <v>29614.266782481478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217895.4226651901</v>
      </c>
      <c r="E22" s="484">
        <f t="shared" ref="E22:E72" si="8">IF(+I$14&lt;F21,I$14,D22)</f>
        <v>5809.5238095238092</v>
      </c>
      <c r="F22" s="485">
        <f t="shared" ref="F22:F72" si="9">+D22-E22</f>
        <v>212085.89885566628</v>
      </c>
      <c r="G22" s="486">
        <f t="shared" ref="G22:G72" si="10">(D22+F22)/2*I$12+E22</f>
        <v>28987.934783029821</v>
      </c>
      <c r="H22" s="455">
        <f t="shared" ref="H22:H72" si="11">+(D22+F22)/2*I$13+E22</f>
        <v>28987.934783029821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212085.89885566628</v>
      </c>
      <c r="E23" s="484">
        <f t="shared" si="8"/>
        <v>5809.5238095238092</v>
      </c>
      <c r="F23" s="485">
        <f t="shared" si="9"/>
        <v>206276.37504614246</v>
      </c>
      <c r="G23" s="486">
        <f t="shared" si="10"/>
        <v>28361.602783578168</v>
      </c>
      <c r="H23" s="455">
        <f t="shared" si="11"/>
        <v>28361.602783578168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206276.37504614246</v>
      </c>
      <c r="E24" s="484">
        <f t="shared" si="8"/>
        <v>5809.5238095238092</v>
      </c>
      <c r="F24" s="485">
        <f t="shared" si="9"/>
        <v>200466.85123661865</v>
      </c>
      <c r="G24" s="486">
        <f t="shared" si="10"/>
        <v>27735.270784126511</v>
      </c>
      <c r="H24" s="455">
        <f t="shared" si="11"/>
        <v>27735.270784126511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200466.85123661865</v>
      </c>
      <c r="E25" s="484">
        <f t="shared" si="8"/>
        <v>5809.5238095238092</v>
      </c>
      <c r="F25" s="485">
        <f t="shared" si="9"/>
        <v>194657.32742709483</v>
      </c>
      <c r="G25" s="486">
        <f t="shared" si="10"/>
        <v>27108.938784674861</v>
      </c>
      <c r="H25" s="455">
        <f t="shared" si="11"/>
        <v>27108.938784674861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194657.32742709483</v>
      </c>
      <c r="E26" s="484">
        <f t="shared" si="8"/>
        <v>5809.5238095238092</v>
      </c>
      <c r="F26" s="485">
        <f t="shared" si="9"/>
        <v>188847.80361757101</v>
      </c>
      <c r="G26" s="486">
        <f t="shared" si="10"/>
        <v>26482.606785223204</v>
      </c>
      <c r="H26" s="455">
        <f t="shared" si="11"/>
        <v>26482.606785223204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188847.80361757101</v>
      </c>
      <c r="E27" s="484">
        <f t="shared" si="8"/>
        <v>5809.5238095238092</v>
      </c>
      <c r="F27" s="485">
        <f t="shared" si="9"/>
        <v>183038.2798080472</v>
      </c>
      <c r="G27" s="486">
        <f t="shared" si="10"/>
        <v>25856.274785771551</v>
      </c>
      <c r="H27" s="455">
        <f t="shared" si="11"/>
        <v>25856.274785771551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183038.2798080472</v>
      </c>
      <c r="E28" s="484">
        <f t="shared" si="8"/>
        <v>5809.5238095238092</v>
      </c>
      <c r="F28" s="485">
        <f t="shared" si="9"/>
        <v>177228.75599852338</v>
      </c>
      <c r="G28" s="486">
        <f t="shared" si="10"/>
        <v>25229.942786319894</v>
      </c>
      <c r="H28" s="455">
        <f t="shared" si="11"/>
        <v>25229.942786319894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177228.75599852338</v>
      </c>
      <c r="E29" s="484">
        <f t="shared" si="8"/>
        <v>5809.5238095238092</v>
      </c>
      <c r="F29" s="485">
        <f t="shared" si="9"/>
        <v>171419.23218899957</v>
      </c>
      <c r="G29" s="486">
        <f t="shared" si="10"/>
        <v>24603.610786868245</v>
      </c>
      <c r="H29" s="455">
        <f t="shared" si="11"/>
        <v>24603.610786868245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171419.23218899957</v>
      </c>
      <c r="E30" s="484">
        <f t="shared" si="8"/>
        <v>5809.5238095238092</v>
      </c>
      <c r="F30" s="485">
        <f t="shared" si="9"/>
        <v>165609.70837947575</v>
      </c>
      <c r="G30" s="486">
        <f t="shared" si="10"/>
        <v>23977.278787416588</v>
      </c>
      <c r="H30" s="455">
        <f t="shared" si="11"/>
        <v>23977.278787416588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165609.70837947575</v>
      </c>
      <c r="E31" s="484">
        <f t="shared" si="8"/>
        <v>5809.5238095238092</v>
      </c>
      <c r="F31" s="485">
        <f t="shared" si="9"/>
        <v>159800.18456995193</v>
      </c>
      <c r="G31" s="486">
        <f t="shared" si="10"/>
        <v>23350.946787964935</v>
      </c>
      <c r="H31" s="455">
        <f t="shared" si="11"/>
        <v>23350.946787964935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159800.18456995193</v>
      </c>
      <c r="E32" s="484">
        <f t="shared" si="8"/>
        <v>5809.5238095238092</v>
      </c>
      <c r="F32" s="485">
        <f t="shared" si="9"/>
        <v>153990.66076042812</v>
      </c>
      <c r="G32" s="486">
        <f t="shared" si="10"/>
        <v>22724.614788513278</v>
      </c>
      <c r="H32" s="455">
        <f t="shared" si="11"/>
        <v>22724.614788513278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153990.66076042812</v>
      </c>
      <c r="E33" s="484">
        <f t="shared" si="8"/>
        <v>5809.5238095238092</v>
      </c>
      <c r="F33" s="485">
        <f t="shared" si="9"/>
        <v>148181.1369509043</v>
      </c>
      <c r="G33" s="486">
        <f t="shared" si="10"/>
        <v>22098.282789061624</v>
      </c>
      <c r="H33" s="455">
        <f t="shared" si="11"/>
        <v>22098.282789061624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148181.1369509043</v>
      </c>
      <c r="E34" s="484">
        <f t="shared" si="8"/>
        <v>5809.5238095238092</v>
      </c>
      <c r="F34" s="485">
        <f t="shared" si="9"/>
        <v>142371.61314138048</v>
      </c>
      <c r="G34" s="486">
        <f t="shared" si="10"/>
        <v>21471.950789609968</v>
      </c>
      <c r="H34" s="455">
        <f t="shared" si="11"/>
        <v>21471.950789609968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142371.61314138048</v>
      </c>
      <c r="E35" s="484">
        <f t="shared" si="8"/>
        <v>5809.5238095238092</v>
      </c>
      <c r="F35" s="485">
        <f t="shared" si="9"/>
        <v>136562.08933185667</v>
      </c>
      <c r="G35" s="486">
        <f t="shared" si="10"/>
        <v>20845.618790158318</v>
      </c>
      <c r="H35" s="455">
        <f t="shared" si="11"/>
        <v>20845.618790158318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136562.08933185667</v>
      </c>
      <c r="E36" s="484">
        <f t="shared" si="8"/>
        <v>5809.5238095238092</v>
      </c>
      <c r="F36" s="485">
        <f t="shared" si="9"/>
        <v>130752.56552233285</v>
      </c>
      <c r="G36" s="486">
        <f t="shared" si="10"/>
        <v>20219.286790706661</v>
      </c>
      <c r="H36" s="455">
        <f t="shared" si="11"/>
        <v>20219.286790706661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130752.56552233285</v>
      </c>
      <c r="E37" s="484">
        <f t="shared" si="8"/>
        <v>5809.5238095238092</v>
      </c>
      <c r="F37" s="485">
        <f t="shared" si="9"/>
        <v>124943.04171280903</v>
      </c>
      <c r="G37" s="486">
        <f t="shared" si="10"/>
        <v>19592.954791255008</v>
      </c>
      <c r="H37" s="455">
        <f t="shared" si="11"/>
        <v>19592.954791255008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124943.04171280903</v>
      </c>
      <c r="E38" s="484">
        <f t="shared" si="8"/>
        <v>5809.5238095238092</v>
      </c>
      <c r="F38" s="485">
        <f t="shared" si="9"/>
        <v>119133.51790328522</v>
      </c>
      <c r="G38" s="486">
        <f t="shared" si="10"/>
        <v>18966.622791803355</v>
      </c>
      <c r="H38" s="455">
        <f t="shared" si="11"/>
        <v>18966.622791803355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119133.51790328522</v>
      </c>
      <c r="E39" s="484">
        <f t="shared" si="8"/>
        <v>5809.5238095238092</v>
      </c>
      <c r="F39" s="485">
        <f t="shared" si="9"/>
        <v>113323.9940937614</v>
      </c>
      <c r="G39" s="486">
        <f t="shared" si="10"/>
        <v>18340.290792351698</v>
      </c>
      <c r="H39" s="455">
        <f t="shared" si="11"/>
        <v>18340.290792351698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113323.9940937614</v>
      </c>
      <c r="E40" s="484">
        <f t="shared" si="8"/>
        <v>5809.5238095238092</v>
      </c>
      <c r="F40" s="485">
        <f t="shared" si="9"/>
        <v>107514.47028423758</v>
      </c>
      <c r="G40" s="486">
        <f t="shared" si="10"/>
        <v>17713.958792900048</v>
      </c>
      <c r="H40" s="455">
        <f t="shared" si="11"/>
        <v>17713.958792900048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107514.47028423758</v>
      </c>
      <c r="E41" s="484">
        <f t="shared" si="8"/>
        <v>5809.5238095238092</v>
      </c>
      <c r="F41" s="485">
        <f t="shared" si="9"/>
        <v>101704.94647471377</v>
      </c>
      <c r="G41" s="486">
        <f t="shared" si="10"/>
        <v>17087.626793448391</v>
      </c>
      <c r="H41" s="455">
        <f t="shared" si="11"/>
        <v>17087.626793448391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101704.94647471377</v>
      </c>
      <c r="E42" s="484">
        <f t="shared" si="8"/>
        <v>5809.5238095238092</v>
      </c>
      <c r="F42" s="485">
        <f t="shared" si="9"/>
        <v>95895.422665189952</v>
      </c>
      <c r="G42" s="486">
        <f t="shared" si="10"/>
        <v>16461.294793996738</v>
      </c>
      <c r="H42" s="455">
        <f t="shared" si="11"/>
        <v>16461.294793996738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95895.422665189952</v>
      </c>
      <c r="E43" s="484">
        <f t="shared" si="8"/>
        <v>5809.5238095238092</v>
      </c>
      <c r="F43" s="485">
        <f t="shared" si="9"/>
        <v>90085.898855666135</v>
      </c>
      <c r="G43" s="486">
        <f t="shared" si="10"/>
        <v>15834.962794545083</v>
      </c>
      <c r="H43" s="455">
        <f t="shared" si="11"/>
        <v>15834.962794545083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90085.898855666135</v>
      </c>
      <c r="E44" s="484">
        <f t="shared" si="8"/>
        <v>5809.5238095238092</v>
      </c>
      <c r="F44" s="485">
        <f t="shared" si="9"/>
        <v>84276.375046142319</v>
      </c>
      <c r="G44" s="486">
        <f t="shared" si="10"/>
        <v>15208.63079509343</v>
      </c>
      <c r="H44" s="455">
        <f t="shared" si="11"/>
        <v>15208.63079509343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84276.375046142319</v>
      </c>
      <c r="E45" s="484">
        <f t="shared" si="8"/>
        <v>5809.5238095238092</v>
      </c>
      <c r="F45" s="485">
        <f t="shared" si="9"/>
        <v>78466.851236618502</v>
      </c>
      <c r="G45" s="486">
        <f t="shared" si="10"/>
        <v>14582.298795641775</v>
      </c>
      <c r="H45" s="455">
        <f t="shared" si="11"/>
        <v>14582.298795641775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78466.851236618502</v>
      </c>
      <c r="E46" s="484">
        <f t="shared" si="8"/>
        <v>5809.5238095238092</v>
      </c>
      <c r="F46" s="485">
        <f t="shared" si="9"/>
        <v>72657.327427094686</v>
      </c>
      <c r="G46" s="486">
        <f t="shared" si="10"/>
        <v>13955.966796190121</v>
      </c>
      <c r="H46" s="455">
        <f t="shared" si="11"/>
        <v>13955.966796190121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72657.327427094686</v>
      </c>
      <c r="E47" s="484">
        <f t="shared" si="8"/>
        <v>5809.5238095238092</v>
      </c>
      <c r="F47" s="485">
        <f t="shared" si="9"/>
        <v>66847.803617570869</v>
      </c>
      <c r="G47" s="486">
        <f t="shared" si="10"/>
        <v>13329.634796738466</v>
      </c>
      <c r="H47" s="455">
        <f t="shared" si="11"/>
        <v>13329.634796738466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66847.803617570869</v>
      </c>
      <c r="E48" s="484">
        <f t="shared" si="8"/>
        <v>5809.5238095238092</v>
      </c>
      <c r="F48" s="485">
        <f t="shared" si="9"/>
        <v>61038.27980804706</v>
      </c>
      <c r="G48" s="486">
        <f t="shared" si="10"/>
        <v>12703.302797286811</v>
      </c>
      <c r="H48" s="455">
        <f t="shared" si="11"/>
        <v>12703.302797286811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61038.27980804706</v>
      </c>
      <c r="E49" s="484">
        <f t="shared" si="8"/>
        <v>5809.5238095238092</v>
      </c>
      <c r="F49" s="485">
        <f t="shared" si="9"/>
        <v>55228.755998523251</v>
      </c>
      <c r="G49" s="486">
        <f t="shared" si="10"/>
        <v>12076.97079783516</v>
      </c>
      <c r="H49" s="455">
        <f t="shared" si="11"/>
        <v>12076.97079783516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55228.755998523251</v>
      </c>
      <c r="E50" s="484">
        <f t="shared" si="8"/>
        <v>5809.5238095238092</v>
      </c>
      <c r="F50" s="485">
        <f t="shared" si="9"/>
        <v>49419.232188999442</v>
      </c>
      <c r="G50" s="486">
        <f t="shared" si="10"/>
        <v>11450.638798383505</v>
      </c>
      <c r="H50" s="455">
        <f t="shared" si="11"/>
        <v>11450.638798383505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49419.232188999442</v>
      </c>
      <c r="E51" s="484">
        <f t="shared" si="8"/>
        <v>5809.5238095238092</v>
      </c>
      <c r="F51" s="485">
        <f t="shared" si="9"/>
        <v>43609.708379475633</v>
      </c>
      <c r="G51" s="486">
        <f t="shared" si="10"/>
        <v>10824.306798931853</v>
      </c>
      <c r="H51" s="455">
        <f t="shared" si="11"/>
        <v>10824.306798931853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43609.708379475633</v>
      </c>
      <c r="E52" s="484">
        <f t="shared" si="8"/>
        <v>5809.5238095238092</v>
      </c>
      <c r="F52" s="485">
        <f t="shared" si="9"/>
        <v>37800.184569951824</v>
      </c>
      <c r="G52" s="486">
        <f t="shared" si="10"/>
        <v>10197.974799480198</v>
      </c>
      <c r="H52" s="455">
        <f t="shared" si="11"/>
        <v>10197.974799480198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37800.184569951824</v>
      </c>
      <c r="E53" s="484">
        <f t="shared" si="8"/>
        <v>5809.5238095238092</v>
      </c>
      <c r="F53" s="485">
        <f t="shared" si="9"/>
        <v>31990.660760428014</v>
      </c>
      <c r="G53" s="486">
        <f t="shared" si="10"/>
        <v>9571.6428000285468</v>
      </c>
      <c r="H53" s="455">
        <f t="shared" si="11"/>
        <v>9571.6428000285468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31990.660760428014</v>
      </c>
      <c r="E54" s="484">
        <f t="shared" si="8"/>
        <v>5809.5238095238092</v>
      </c>
      <c r="F54" s="485">
        <f t="shared" si="9"/>
        <v>26181.136950904205</v>
      </c>
      <c r="G54" s="486">
        <f t="shared" si="10"/>
        <v>8945.3108005768918</v>
      </c>
      <c r="H54" s="455">
        <f t="shared" si="11"/>
        <v>8945.3108005768918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26181.136950904205</v>
      </c>
      <c r="E55" s="484">
        <f t="shared" si="8"/>
        <v>5809.5238095238092</v>
      </c>
      <c r="F55" s="485">
        <f t="shared" si="9"/>
        <v>20371.613141380396</v>
      </c>
      <c r="G55" s="486">
        <f t="shared" si="10"/>
        <v>8318.9788011252385</v>
      </c>
      <c r="H55" s="455">
        <f t="shared" si="11"/>
        <v>8318.9788011252385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20371.613141380396</v>
      </c>
      <c r="E56" s="484">
        <f t="shared" si="8"/>
        <v>5809.5238095238092</v>
      </c>
      <c r="F56" s="485">
        <f t="shared" si="9"/>
        <v>14562.089331856587</v>
      </c>
      <c r="G56" s="486">
        <f t="shared" si="10"/>
        <v>7692.6468016735853</v>
      </c>
      <c r="H56" s="455">
        <f t="shared" si="11"/>
        <v>7692.6468016735853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14562.089331856587</v>
      </c>
      <c r="E57" s="484">
        <f t="shared" si="8"/>
        <v>5809.5238095238092</v>
      </c>
      <c r="F57" s="485">
        <f t="shared" si="9"/>
        <v>8752.5655223327776</v>
      </c>
      <c r="G57" s="486">
        <f t="shared" si="10"/>
        <v>7066.314802221932</v>
      </c>
      <c r="H57" s="455">
        <f t="shared" si="11"/>
        <v>7066.314802221932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8752.5655223327776</v>
      </c>
      <c r="E58" s="484">
        <f t="shared" si="8"/>
        <v>5809.5238095238092</v>
      </c>
      <c r="F58" s="485">
        <f t="shared" si="9"/>
        <v>2943.0417128089684</v>
      </c>
      <c r="G58" s="486">
        <f t="shared" si="10"/>
        <v>6439.9828027702788</v>
      </c>
      <c r="H58" s="455">
        <f t="shared" si="11"/>
        <v>6439.9828027702788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2943.0417128089684</v>
      </c>
      <c r="E59" s="484">
        <f t="shared" si="8"/>
        <v>2943.0417128089684</v>
      </c>
      <c r="F59" s="485">
        <f t="shared" si="9"/>
        <v>0</v>
      </c>
      <c r="G59" s="486">
        <f t="shared" si="10"/>
        <v>3101.6882095692899</v>
      </c>
      <c r="H59" s="455">
        <f t="shared" si="11"/>
        <v>3101.6882095692899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3"/>
    </row>
    <row r="73" spans="2:16">
      <c r="C73" s="347" t="s">
        <v>77</v>
      </c>
      <c r="D73" s="348"/>
      <c r="E73" s="348">
        <f>SUM(E17:E72)</f>
        <v>244000.00000000003</v>
      </c>
      <c r="F73" s="348"/>
      <c r="G73" s="348">
        <f>SUM(G17:G72)</f>
        <v>799063.8345137781</v>
      </c>
      <c r="H73" s="348">
        <f>SUM(H17:H72)</f>
        <v>799063.8345137781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22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29614.266782481478</v>
      </c>
      <c r="N87" s="508">
        <f>IF(J92&lt;D11,0,VLOOKUP(J92,C17:O72,11))</f>
        <v>29614.266782481478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30546.757470312874</v>
      </c>
      <c r="N88" s="512">
        <f>IF(J92&lt;D11,0,VLOOKUP(J92,C99:P154,7))</f>
        <v>30546.757470312874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Northeastern Station 138 kV Terminal Upgrades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932.49068783139592</v>
      </c>
      <c r="N89" s="517">
        <f>+N88-N87</f>
        <v>932.49068783139592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TP2015169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244000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6256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2837</v>
      </c>
      <c r="F99" s="584">
        <v>241163</v>
      </c>
      <c r="G99" s="608">
        <v>120581.5</v>
      </c>
      <c r="H99" s="587">
        <v>15225.00875134001</v>
      </c>
      <c r="I99" s="607">
        <v>15225.00875134001</v>
      </c>
      <c r="J99" s="478">
        <f t="shared" ref="J99:J130" si="12">+I99-H99</f>
        <v>0</v>
      </c>
      <c r="K99" s="478"/>
      <c r="L99" s="477">
        <f>+H99</f>
        <v>15225.00875134001</v>
      </c>
      <c r="M99" s="477">
        <f t="shared" ref="M99" si="13">IF(L99&lt;&gt;0,+H99-L99,0)</f>
        <v>0</v>
      </c>
      <c r="N99" s="477">
        <f>+I99</f>
        <v>15225.00875134001</v>
      </c>
      <c r="O99" s="477">
        <f t="shared" ref="O99" si="14">IF(N99&lt;&gt;0,+I99-N99,0)</f>
        <v>0</v>
      </c>
      <c r="P99" s="477">
        <f t="shared" ref="P99" si="15">+O99-M99</f>
        <v>0</v>
      </c>
    </row>
    <row r="100" spans="1:16">
      <c r="B100" s="160" t="str">
        <f>IF(D100=F99,"","IU")</f>
        <v/>
      </c>
      <c r="C100" s="472">
        <f>IF(D93="","-",+C99+1)</f>
        <v>2019</v>
      </c>
      <c r="D100" s="584">
        <v>241163</v>
      </c>
      <c r="E100" s="585">
        <v>5951</v>
      </c>
      <c r="F100" s="586">
        <v>235212</v>
      </c>
      <c r="G100" s="586">
        <v>238187.5</v>
      </c>
      <c r="H100" s="606">
        <v>30511.472087080136</v>
      </c>
      <c r="I100" s="607">
        <v>30511.472087080136</v>
      </c>
      <c r="J100" s="478">
        <f t="shared" si="12"/>
        <v>0</v>
      </c>
      <c r="K100" s="478"/>
      <c r="L100" s="476">
        <f>H100</f>
        <v>30511.472087080136</v>
      </c>
      <c r="M100" s="349">
        <f>IF(L100&lt;&gt;0,+H100-L100,0)</f>
        <v>0</v>
      </c>
      <c r="N100" s="476">
        <f>I100</f>
        <v>30511.472087080136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>
      <c r="B101" s="160" t="str">
        <f t="shared" ref="B101:B154" si="18">IF(D101=F100,"","IU")</f>
        <v/>
      </c>
      <c r="C101" s="472">
        <f>IF(D93="","-",+C100+1)</f>
        <v>2020</v>
      </c>
      <c r="D101" s="584">
        <v>235212</v>
      </c>
      <c r="E101" s="585">
        <v>5674</v>
      </c>
      <c r="F101" s="586">
        <v>229538</v>
      </c>
      <c r="G101" s="586">
        <v>232375</v>
      </c>
      <c r="H101" s="606">
        <v>32466.198637614907</v>
      </c>
      <c r="I101" s="607">
        <v>32466.198637614907</v>
      </c>
      <c r="J101" s="478">
        <f t="shared" si="12"/>
        <v>0</v>
      </c>
      <c r="K101" s="478"/>
      <c r="L101" s="476">
        <f>H101</f>
        <v>32466.198637614907</v>
      </c>
      <c r="M101" s="349">
        <f>IF(L101&lt;&gt;0,+H101-L101,0)</f>
        <v>0</v>
      </c>
      <c r="N101" s="476">
        <f>I101</f>
        <v>32466.198637614907</v>
      </c>
      <c r="O101" s="478">
        <f t="shared" si="16"/>
        <v>0</v>
      </c>
      <c r="P101" s="478">
        <f t="shared" si="17"/>
        <v>0</v>
      </c>
    </row>
    <row r="102" spans="1:16">
      <c r="B102" s="160" t="str">
        <f t="shared" si="18"/>
        <v/>
      </c>
      <c r="C102" s="472">
        <f>IF(D93="","-",+C101+1)</f>
        <v>2021</v>
      </c>
      <c r="D102" s="584">
        <v>229538</v>
      </c>
      <c r="E102" s="585">
        <v>5951</v>
      </c>
      <c r="F102" s="586">
        <v>223587</v>
      </c>
      <c r="G102" s="586">
        <v>226562.5</v>
      </c>
      <c r="H102" s="606">
        <v>31732.179671191017</v>
      </c>
      <c r="I102" s="607">
        <v>31732.179671191017</v>
      </c>
      <c r="J102" s="478">
        <f t="shared" si="12"/>
        <v>0</v>
      </c>
      <c r="K102" s="478"/>
      <c r="L102" s="476">
        <f>H102</f>
        <v>31732.179671191017</v>
      </c>
      <c r="M102" s="349">
        <f>IF(L102&lt;&gt;0,+H102-L102,0)</f>
        <v>0</v>
      </c>
      <c r="N102" s="476">
        <f>I102</f>
        <v>31732.179671191017</v>
      </c>
      <c r="O102" s="478">
        <f t="shared" si="16"/>
        <v>0</v>
      </c>
      <c r="P102" s="478">
        <f t="shared" si="17"/>
        <v>0</v>
      </c>
    </row>
    <row r="103" spans="1:16">
      <c r="B103" s="160" t="str">
        <f t="shared" si="18"/>
        <v/>
      </c>
      <c r="C103" s="472">
        <f>IF(D93="","-",+C102+1)</f>
        <v>2022</v>
      </c>
      <c r="D103" s="347">
        <f>IF(F102+SUM(E$99:E102)=D$92,F102,D$92-SUM(E$99:E102))</f>
        <v>223587</v>
      </c>
      <c r="E103" s="484">
        <f t="shared" ref="E103:E154" si="19">IF(+J$96&lt;F102,J$96,D103)</f>
        <v>6256</v>
      </c>
      <c r="F103" s="485">
        <f t="shared" ref="F103:F154" si="20">+D103-E103</f>
        <v>217331</v>
      </c>
      <c r="G103" s="485">
        <f t="shared" ref="G103:G154" si="21">+(F103+D103)/2</f>
        <v>220459</v>
      </c>
      <c r="H103" s="486">
        <f t="shared" ref="H103:H153" si="22">(D103+F103)/2*J$94+E103</f>
        <v>30546.757470312874</v>
      </c>
      <c r="I103" s="542">
        <f t="shared" ref="I103:I153" si="23">+J$95*G103+E103</f>
        <v>30546.757470312874</v>
      </c>
      <c r="J103" s="478">
        <f t="shared" si="12"/>
        <v>0</v>
      </c>
      <c r="K103" s="478"/>
      <c r="L103" s="487"/>
      <c r="M103" s="478">
        <f t="shared" ref="M103:M130" si="24">IF(L103&lt;&gt;0,+H103-L103,0)</f>
        <v>0</v>
      </c>
      <c r="N103" s="487"/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2023</v>
      </c>
      <c r="D104" s="347">
        <f>IF(F103+SUM(E$99:E103)=D$92,F103,D$92-SUM(E$99:E103))</f>
        <v>217331</v>
      </c>
      <c r="E104" s="484">
        <f t="shared" si="19"/>
        <v>6256</v>
      </c>
      <c r="F104" s="485">
        <f t="shared" si="20"/>
        <v>211075</v>
      </c>
      <c r="G104" s="485">
        <f t="shared" si="21"/>
        <v>214203</v>
      </c>
      <c r="H104" s="486">
        <f t="shared" si="22"/>
        <v>29857.45479392281</v>
      </c>
      <c r="I104" s="542">
        <f t="shared" si="23"/>
        <v>29857.45479392281</v>
      </c>
      <c r="J104" s="478">
        <f t="shared" si="12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2024</v>
      </c>
      <c r="D105" s="347">
        <f>IF(F104+SUM(E$99:E104)=D$92,F104,D$92-SUM(E$99:E104))</f>
        <v>211075</v>
      </c>
      <c r="E105" s="484">
        <f t="shared" si="19"/>
        <v>6256</v>
      </c>
      <c r="F105" s="485">
        <f t="shared" si="20"/>
        <v>204819</v>
      </c>
      <c r="G105" s="485">
        <f t="shared" si="21"/>
        <v>207947</v>
      </c>
      <c r="H105" s="486">
        <f t="shared" si="22"/>
        <v>29168.152117532743</v>
      </c>
      <c r="I105" s="542">
        <f t="shared" si="23"/>
        <v>29168.152117532743</v>
      </c>
      <c r="J105" s="478">
        <f t="shared" si="12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2025</v>
      </c>
      <c r="D106" s="347">
        <f>IF(F105+SUM(E$99:E105)=D$92,F105,D$92-SUM(E$99:E105))</f>
        <v>204819</v>
      </c>
      <c r="E106" s="484">
        <f t="shared" si="19"/>
        <v>6256</v>
      </c>
      <c r="F106" s="485">
        <f t="shared" si="20"/>
        <v>198563</v>
      </c>
      <c r="G106" s="485">
        <f t="shared" si="21"/>
        <v>201691</v>
      </c>
      <c r="H106" s="486">
        <f t="shared" si="22"/>
        <v>28478.84944114268</v>
      </c>
      <c r="I106" s="542">
        <f t="shared" si="23"/>
        <v>28478.84944114268</v>
      </c>
      <c r="J106" s="478">
        <f t="shared" si="12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2026</v>
      </c>
      <c r="D107" s="347">
        <f>IF(F106+SUM(E$99:E106)=D$92,F106,D$92-SUM(E$99:E106))</f>
        <v>198563</v>
      </c>
      <c r="E107" s="484">
        <f t="shared" si="19"/>
        <v>6256</v>
      </c>
      <c r="F107" s="485">
        <f t="shared" si="20"/>
        <v>192307</v>
      </c>
      <c r="G107" s="485">
        <f t="shared" si="21"/>
        <v>195435</v>
      </c>
      <c r="H107" s="486">
        <f t="shared" si="22"/>
        <v>27789.546764752617</v>
      </c>
      <c r="I107" s="542">
        <f t="shared" si="23"/>
        <v>27789.546764752617</v>
      </c>
      <c r="J107" s="478">
        <f t="shared" si="12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2027</v>
      </c>
      <c r="D108" s="347">
        <f>IF(F107+SUM(E$99:E107)=D$92,F107,D$92-SUM(E$99:E107))</f>
        <v>192307</v>
      </c>
      <c r="E108" s="484">
        <f t="shared" si="19"/>
        <v>6256</v>
      </c>
      <c r="F108" s="485">
        <f t="shared" si="20"/>
        <v>186051</v>
      </c>
      <c r="G108" s="485">
        <f t="shared" si="21"/>
        <v>189179</v>
      </c>
      <c r="H108" s="486">
        <f t="shared" si="22"/>
        <v>27100.24408836255</v>
      </c>
      <c r="I108" s="542">
        <f t="shared" si="23"/>
        <v>27100.24408836255</v>
      </c>
      <c r="J108" s="478">
        <f t="shared" si="12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2028</v>
      </c>
      <c r="D109" s="347">
        <f>IF(F108+SUM(E$99:E108)=D$92,F108,D$92-SUM(E$99:E108))</f>
        <v>186051</v>
      </c>
      <c r="E109" s="484">
        <f t="shared" si="19"/>
        <v>6256</v>
      </c>
      <c r="F109" s="485">
        <f t="shared" si="20"/>
        <v>179795</v>
      </c>
      <c r="G109" s="485">
        <f t="shared" si="21"/>
        <v>182923</v>
      </c>
      <c r="H109" s="486">
        <f t="shared" si="22"/>
        <v>26410.941411972486</v>
      </c>
      <c r="I109" s="542">
        <f t="shared" si="23"/>
        <v>26410.941411972486</v>
      </c>
      <c r="J109" s="478">
        <f t="shared" si="12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2029</v>
      </c>
      <c r="D110" s="347">
        <f>IF(F109+SUM(E$99:E109)=D$92,F109,D$92-SUM(E$99:E109))</f>
        <v>179795</v>
      </c>
      <c r="E110" s="484">
        <f t="shared" si="19"/>
        <v>6256</v>
      </c>
      <c r="F110" s="485">
        <f t="shared" si="20"/>
        <v>173539</v>
      </c>
      <c r="G110" s="485">
        <f t="shared" si="21"/>
        <v>176667</v>
      </c>
      <c r="H110" s="486">
        <f t="shared" si="22"/>
        <v>25721.638735582419</v>
      </c>
      <c r="I110" s="542">
        <f t="shared" si="23"/>
        <v>25721.638735582419</v>
      </c>
      <c r="J110" s="478">
        <f t="shared" si="12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2030</v>
      </c>
      <c r="D111" s="347">
        <f>IF(F110+SUM(E$99:E110)=D$92,F110,D$92-SUM(E$99:E110))</f>
        <v>173539</v>
      </c>
      <c r="E111" s="484">
        <f t="shared" si="19"/>
        <v>6256</v>
      </c>
      <c r="F111" s="485">
        <f t="shared" si="20"/>
        <v>167283</v>
      </c>
      <c r="G111" s="485">
        <f t="shared" si="21"/>
        <v>170411</v>
      </c>
      <c r="H111" s="486">
        <f t="shared" si="22"/>
        <v>25032.336059192356</v>
      </c>
      <c r="I111" s="542">
        <f t="shared" si="23"/>
        <v>25032.336059192356</v>
      </c>
      <c r="J111" s="478">
        <f t="shared" si="12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2031</v>
      </c>
      <c r="D112" s="347">
        <f>IF(F111+SUM(E$99:E111)=D$92,F111,D$92-SUM(E$99:E111))</f>
        <v>167283</v>
      </c>
      <c r="E112" s="484">
        <f t="shared" si="19"/>
        <v>6256</v>
      </c>
      <c r="F112" s="485">
        <f t="shared" si="20"/>
        <v>161027</v>
      </c>
      <c r="G112" s="485">
        <f t="shared" si="21"/>
        <v>164155</v>
      </c>
      <c r="H112" s="486">
        <f t="shared" si="22"/>
        <v>24343.033382802289</v>
      </c>
      <c r="I112" s="542">
        <f t="shared" si="23"/>
        <v>24343.033382802289</v>
      </c>
      <c r="J112" s="478">
        <f t="shared" si="12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2032</v>
      </c>
      <c r="D113" s="347">
        <f>IF(F112+SUM(E$99:E112)=D$92,F112,D$92-SUM(E$99:E112))</f>
        <v>161027</v>
      </c>
      <c r="E113" s="484">
        <f t="shared" si="19"/>
        <v>6256</v>
      </c>
      <c r="F113" s="485">
        <f t="shared" si="20"/>
        <v>154771</v>
      </c>
      <c r="G113" s="485">
        <f t="shared" si="21"/>
        <v>157899</v>
      </c>
      <c r="H113" s="486">
        <f t="shared" si="22"/>
        <v>23653.730706412225</v>
      </c>
      <c r="I113" s="542">
        <f t="shared" si="23"/>
        <v>23653.730706412225</v>
      </c>
      <c r="J113" s="478">
        <f t="shared" si="12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2033</v>
      </c>
      <c r="D114" s="347">
        <f>IF(F113+SUM(E$99:E113)=D$92,F113,D$92-SUM(E$99:E113))</f>
        <v>154771</v>
      </c>
      <c r="E114" s="484">
        <f t="shared" si="19"/>
        <v>6256</v>
      </c>
      <c r="F114" s="485">
        <f t="shared" si="20"/>
        <v>148515</v>
      </c>
      <c r="G114" s="485">
        <f t="shared" si="21"/>
        <v>151643</v>
      </c>
      <c r="H114" s="486">
        <f t="shared" si="22"/>
        <v>22964.428030022158</v>
      </c>
      <c r="I114" s="542">
        <f t="shared" si="23"/>
        <v>22964.428030022158</v>
      </c>
      <c r="J114" s="478">
        <f t="shared" si="12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2034</v>
      </c>
      <c r="D115" s="347">
        <f>IF(F114+SUM(E$99:E114)=D$92,F114,D$92-SUM(E$99:E114))</f>
        <v>148515</v>
      </c>
      <c r="E115" s="484">
        <f t="shared" si="19"/>
        <v>6256</v>
      </c>
      <c r="F115" s="485">
        <f t="shared" si="20"/>
        <v>142259</v>
      </c>
      <c r="G115" s="485">
        <f t="shared" si="21"/>
        <v>145387</v>
      </c>
      <c r="H115" s="486">
        <f t="shared" si="22"/>
        <v>22275.125353632095</v>
      </c>
      <c r="I115" s="542">
        <f t="shared" si="23"/>
        <v>22275.125353632095</v>
      </c>
      <c r="J115" s="478">
        <f t="shared" si="12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2035</v>
      </c>
      <c r="D116" s="347">
        <f>IF(F115+SUM(E$99:E115)=D$92,F115,D$92-SUM(E$99:E115))</f>
        <v>142259</v>
      </c>
      <c r="E116" s="484">
        <f t="shared" si="19"/>
        <v>6256</v>
      </c>
      <c r="F116" s="485">
        <f t="shared" si="20"/>
        <v>136003</v>
      </c>
      <c r="G116" s="485">
        <f t="shared" si="21"/>
        <v>139131</v>
      </c>
      <c r="H116" s="486">
        <f t="shared" si="22"/>
        <v>21585.822677242031</v>
      </c>
      <c r="I116" s="542">
        <f t="shared" si="23"/>
        <v>21585.822677242031</v>
      </c>
      <c r="J116" s="478">
        <f t="shared" si="12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2036</v>
      </c>
      <c r="D117" s="347">
        <f>IF(F116+SUM(E$99:E116)=D$92,F116,D$92-SUM(E$99:E116))</f>
        <v>136003</v>
      </c>
      <c r="E117" s="484">
        <f t="shared" si="19"/>
        <v>6256</v>
      </c>
      <c r="F117" s="485">
        <f t="shared" si="20"/>
        <v>129747</v>
      </c>
      <c r="G117" s="485">
        <f t="shared" si="21"/>
        <v>132875</v>
      </c>
      <c r="H117" s="486">
        <f t="shared" si="22"/>
        <v>20896.520000851964</v>
      </c>
      <c r="I117" s="542">
        <f t="shared" si="23"/>
        <v>20896.520000851964</v>
      </c>
      <c r="J117" s="478">
        <f t="shared" si="12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2037</v>
      </c>
      <c r="D118" s="347">
        <f>IF(F117+SUM(E$99:E117)=D$92,F117,D$92-SUM(E$99:E117))</f>
        <v>129747</v>
      </c>
      <c r="E118" s="484">
        <f t="shared" si="19"/>
        <v>6256</v>
      </c>
      <c r="F118" s="485">
        <f t="shared" si="20"/>
        <v>123491</v>
      </c>
      <c r="G118" s="485">
        <f t="shared" si="21"/>
        <v>126619</v>
      </c>
      <c r="H118" s="486">
        <f t="shared" si="22"/>
        <v>20207.217324461897</v>
      </c>
      <c r="I118" s="542">
        <f t="shared" si="23"/>
        <v>20207.217324461897</v>
      </c>
      <c r="J118" s="478">
        <f t="shared" si="12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2038</v>
      </c>
      <c r="D119" s="347">
        <f>IF(F118+SUM(E$99:E118)=D$92,F118,D$92-SUM(E$99:E118))</f>
        <v>123491</v>
      </c>
      <c r="E119" s="484">
        <f t="shared" si="19"/>
        <v>6256</v>
      </c>
      <c r="F119" s="485">
        <f t="shared" si="20"/>
        <v>117235</v>
      </c>
      <c r="G119" s="485">
        <f t="shared" si="21"/>
        <v>120363</v>
      </c>
      <c r="H119" s="486">
        <f t="shared" si="22"/>
        <v>19517.914648071834</v>
      </c>
      <c r="I119" s="542">
        <f t="shared" si="23"/>
        <v>19517.914648071834</v>
      </c>
      <c r="J119" s="478">
        <f t="shared" si="12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2039</v>
      </c>
      <c r="D120" s="347">
        <f>IF(F119+SUM(E$99:E119)=D$92,F119,D$92-SUM(E$99:E119))</f>
        <v>117235</v>
      </c>
      <c r="E120" s="484">
        <f t="shared" si="19"/>
        <v>6256</v>
      </c>
      <c r="F120" s="485">
        <f t="shared" si="20"/>
        <v>110979</v>
      </c>
      <c r="G120" s="485">
        <f t="shared" si="21"/>
        <v>114107</v>
      </c>
      <c r="H120" s="486">
        <f t="shared" si="22"/>
        <v>18828.61197168177</v>
      </c>
      <c r="I120" s="542">
        <f t="shared" si="23"/>
        <v>18828.61197168177</v>
      </c>
      <c r="J120" s="478">
        <f t="shared" si="12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2040</v>
      </c>
      <c r="D121" s="347">
        <f>IF(F120+SUM(E$99:E120)=D$92,F120,D$92-SUM(E$99:E120))</f>
        <v>110979</v>
      </c>
      <c r="E121" s="484">
        <f t="shared" si="19"/>
        <v>6256</v>
      </c>
      <c r="F121" s="485">
        <f t="shared" si="20"/>
        <v>104723</v>
      </c>
      <c r="G121" s="485">
        <f t="shared" si="21"/>
        <v>107851</v>
      </c>
      <c r="H121" s="486">
        <f t="shared" si="22"/>
        <v>18139.309295291707</v>
      </c>
      <c r="I121" s="542">
        <f t="shared" si="23"/>
        <v>18139.309295291707</v>
      </c>
      <c r="J121" s="478">
        <f t="shared" si="12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2041</v>
      </c>
      <c r="D122" s="347">
        <f>IF(F121+SUM(E$99:E121)=D$92,F121,D$92-SUM(E$99:E121))</f>
        <v>104723</v>
      </c>
      <c r="E122" s="484">
        <f t="shared" si="19"/>
        <v>6256</v>
      </c>
      <c r="F122" s="485">
        <f t="shared" si="20"/>
        <v>98467</v>
      </c>
      <c r="G122" s="485">
        <f t="shared" si="21"/>
        <v>101595</v>
      </c>
      <c r="H122" s="486">
        <f t="shared" si="22"/>
        <v>17450.00661890164</v>
      </c>
      <c r="I122" s="542">
        <f t="shared" si="23"/>
        <v>17450.00661890164</v>
      </c>
      <c r="J122" s="478">
        <f t="shared" si="12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2042</v>
      </c>
      <c r="D123" s="347">
        <f>IF(F122+SUM(E$99:E122)=D$92,F122,D$92-SUM(E$99:E122))</f>
        <v>98467</v>
      </c>
      <c r="E123" s="484">
        <f t="shared" si="19"/>
        <v>6256</v>
      </c>
      <c r="F123" s="485">
        <f t="shared" si="20"/>
        <v>92211</v>
      </c>
      <c r="G123" s="485">
        <f t="shared" si="21"/>
        <v>95339</v>
      </c>
      <c r="H123" s="486">
        <f t="shared" si="22"/>
        <v>16760.703942511573</v>
      </c>
      <c r="I123" s="542">
        <f t="shared" si="23"/>
        <v>16760.703942511573</v>
      </c>
      <c r="J123" s="478">
        <f t="shared" si="12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2043</v>
      </c>
      <c r="D124" s="347">
        <f>IF(F123+SUM(E$99:E123)=D$92,F123,D$92-SUM(E$99:E123))</f>
        <v>92211</v>
      </c>
      <c r="E124" s="484">
        <f t="shared" si="19"/>
        <v>6256</v>
      </c>
      <c r="F124" s="485">
        <f t="shared" si="20"/>
        <v>85955</v>
      </c>
      <c r="G124" s="485">
        <f t="shared" si="21"/>
        <v>89083</v>
      </c>
      <c r="H124" s="486">
        <f t="shared" si="22"/>
        <v>16071.401266121509</v>
      </c>
      <c r="I124" s="542">
        <f t="shared" si="23"/>
        <v>16071.401266121509</v>
      </c>
      <c r="J124" s="478">
        <f t="shared" si="12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2044</v>
      </c>
      <c r="D125" s="347">
        <f>IF(F124+SUM(E$99:E124)=D$92,F124,D$92-SUM(E$99:E124))</f>
        <v>85955</v>
      </c>
      <c r="E125" s="484">
        <f t="shared" si="19"/>
        <v>6256</v>
      </c>
      <c r="F125" s="485">
        <f t="shared" si="20"/>
        <v>79699</v>
      </c>
      <c r="G125" s="485">
        <f t="shared" si="21"/>
        <v>82827</v>
      </c>
      <c r="H125" s="486">
        <f t="shared" si="22"/>
        <v>15382.098589731444</v>
      </c>
      <c r="I125" s="542">
        <f t="shared" si="23"/>
        <v>15382.098589731444</v>
      </c>
      <c r="J125" s="478">
        <f t="shared" si="12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2045</v>
      </c>
      <c r="D126" s="347">
        <f>IF(F125+SUM(E$99:E125)=D$92,F125,D$92-SUM(E$99:E125))</f>
        <v>79699</v>
      </c>
      <c r="E126" s="484">
        <f t="shared" si="19"/>
        <v>6256</v>
      </c>
      <c r="F126" s="485">
        <f t="shared" si="20"/>
        <v>73443</v>
      </c>
      <c r="G126" s="485">
        <f t="shared" si="21"/>
        <v>76571</v>
      </c>
      <c r="H126" s="486">
        <f t="shared" si="22"/>
        <v>14692.795913341379</v>
      </c>
      <c r="I126" s="542">
        <f t="shared" si="23"/>
        <v>14692.795913341379</v>
      </c>
      <c r="J126" s="478">
        <f t="shared" si="12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2046</v>
      </c>
      <c r="D127" s="347">
        <f>IF(F126+SUM(E$99:E126)=D$92,F126,D$92-SUM(E$99:E126))</f>
        <v>73443</v>
      </c>
      <c r="E127" s="484">
        <f t="shared" si="19"/>
        <v>6256</v>
      </c>
      <c r="F127" s="485">
        <f t="shared" si="20"/>
        <v>67187</v>
      </c>
      <c r="G127" s="485">
        <f t="shared" si="21"/>
        <v>70315</v>
      </c>
      <c r="H127" s="486">
        <f t="shared" si="22"/>
        <v>14003.493236951315</v>
      </c>
      <c r="I127" s="542">
        <f t="shared" si="23"/>
        <v>14003.493236951315</v>
      </c>
      <c r="J127" s="478">
        <f t="shared" si="12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2047</v>
      </c>
      <c r="D128" s="347">
        <f>IF(F127+SUM(E$99:E127)=D$92,F127,D$92-SUM(E$99:E127))</f>
        <v>67187</v>
      </c>
      <c r="E128" s="484">
        <f t="shared" si="19"/>
        <v>6256</v>
      </c>
      <c r="F128" s="485">
        <f t="shared" si="20"/>
        <v>60931</v>
      </c>
      <c r="G128" s="485">
        <f t="shared" si="21"/>
        <v>64059</v>
      </c>
      <c r="H128" s="486">
        <f t="shared" si="22"/>
        <v>13314.190560561248</v>
      </c>
      <c r="I128" s="542">
        <f t="shared" si="23"/>
        <v>13314.190560561248</v>
      </c>
      <c r="J128" s="478">
        <f t="shared" si="12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2048</v>
      </c>
      <c r="D129" s="347">
        <f>IF(F128+SUM(E$99:E128)=D$92,F128,D$92-SUM(E$99:E128))</f>
        <v>60931</v>
      </c>
      <c r="E129" s="484">
        <f t="shared" si="19"/>
        <v>6256</v>
      </c>
      <c r="F129" s="485">
        <f t="shared" si="20"/>
        <v>54675</v>
      </c>
      <c r="G129" s="485">
        <f t="shared" si="21"/>
        <v>57803</v>
      </c>
      <c r="H129" s="486">
        <f t="shared" si="22"/>
        <v>12624.887884171185</v>
      </c>
      <c r="I129" s="542">
        <f t="shared" si="23"/>
        <v>12624.887884171185</v>
      </c>
      <c r="J129" s="478">
        <f t="shared" si="12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2049</v>
      </c>
      <c r="D130" s="347">
        <f>IF(F129+SUM(E$99:E129)=D$92,F129,D$92-SUM(E$99:E129))</f>
        <v>54675</v>
      </c>
      <c r="E130" s="484">
        <f t="shared" si="19"/>
        <v>6256</v>
      </c>
      <c r="F130" s="485">
        <f t="shared" si="20"/>
        <v>48419</v>
      </c>
      <c r="G130" s="485">
        <f t="shared" si="21"/>
        <v>51547</v>
      </c>
      <c r="H130" s="486">
        <f t="shared" si="22"/>
        <v>11935.58520778112</v>
      </c>
      <c r="I130" s="542">
        <f t="shared" si="23"/>
        <v>11935.58520778112</v>
      </c>
      <c r="J130" s="478">
        <f t="shared" si="12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2050</v>
      </c>
      <c r="D131" s="347">
        <f>IF(F130+SUM(E$99:E130)=D$92,F130,D$92-SUM(E$99:E130))</f>
        <v>48419</v>
      </c>
      <c r="E131" s="484">
        <f t="shared" si="19"/>
        <v>6256</v>
      </c>
      <c r="F131" s="485">
        <f t="shared" si="20"/>
        <v>42163</v>
      </c>
      <c r="G131" s="485">
        <f t="shared" si="21"/>
        <v>45291</v>
      </c>
      <c r="H131" s="486">
        <f t="shared" si="22"/>
        <v>11246.282531391054</v>
      </c>
      <c r="I131" s="542">
        <f t="shared" si="23"/>
        <v>11246.282531391054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8"/>
        <v/>
      </c>
      <c r="C132" s="472">
        <f>IF(D93="","-",+C131+1)</f>
        <v>2051</v>
      </c>
      <c r="D132" s="347">
        <f>IF(F131+SUM(E$99:E131)=D$92,F131,D$92-SUM(E$99:E131))</f>
        <v>42163</v>
      </c>
      <c r="E132" s="484">
        <f t="shared" si="19"/>
        <v>6256</v>
      </c>
      <c r="F132" s="485">
        <f t="shared" si="20"/>
        <v>35907</v>
      </c>
      <c r="G132" s="485">
        <f t="shared" si="21"/>
        <v>39035</v>
      </c>
      <c r="H132" s="486">
        <f t="shared" si="22"/>
        <v>10556.979855000989</v>
      </c>
      <c r="I132" s="542">
        <f t="shared" si="23"/>
        <v>10556.979855000989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8"/>
        <v/>
      </c>
      <c r="C133" s="472">
        <f>IF(D93="","-",+C132+1)</f>
        <v>2052</v>
      </c>
      <c r="D133" s="347">
        <f>IF(F132+SUM(E$99:E132)=D$92,F132,D$92-SUM(E$99:E132))</f>
        <v>35907</v>
      </c>
      <c r="E133" s="484">
        <f t="shared" si="19"/>
        <v>6256</v>
      </c>
      <c r="F133" s="485">
        <f t="shared" si="20"/>
        <v>29651</v>
      </c>
      <c r="G133" s="485">
        <f t="shared" si="21"/>
        <v>32779</v>
      </c>
      <c r="H133" s="486">
        <f t="shared" si="22"/>
        <v>9867.6771786109239</v>
      </c>
      <c r="I133" s="542">
        <f t="shared" si="23"/>
        <v>9867.6771786109239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8"/>
        <v/>
      </c>
      <c r="C134" s="472">
        <f>IF(D93="","-",+C133+1)</f>
        <v>2053</v>
      </c>
      <c r="D134" s="347">
        <f>IF(F133+SUM(E$99:E133)=D$92,F133,D$92-SUM(E$99:E133))</f>
        <v>29651</v>
      </c>
      <c r="E134" s="484">
        <f t="shared" si="19"/>
        <v>6256</v>
      </c>
      <c r="F134" s="485">
        <f t="shared" si="20"/>
        <v>23395</v>
      </c>
      <c r="G134" s="485">
        <f t="shared" si="21"/>
        <v>26523</v>
      </c>
      <c r="H134" s="486">
        <f t="shared" si="22"/>
        <v>9178.3745022208586</v>
      </c>
      <c r="I134" s="542">
        <f t="shared" si="23"/>
        <v>9178.3745022208586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8"/>
        <v/>
      </c>
      <c r="C135" s="472">
        <f>IF(D93="","-",+C134+1)</f>
        <v>2054</v>
      </c>
      <c r="D135" s="347">
        <f>IF(F134+SUM(E$99:E134)=D$92,F134,D$92-SUM(E$99:E134))</f>
        <v>23395</v>
      </c>
      <c r="E135" s="484">
        <f t="shared" si="19"/>
        <v>6256</v>
      </c>
      <c r="F135" s="485">
        <f t="shared" si="20"/>
        <v>17139</v>
      </c>
      <c r="G135" s="485">
        <f t="shared" si="21"/>
        <v>20267</v>
      </c>
      <c r="H135" s="486">
        <f t="shared" si="22"/>
        <v>8489.0718258307934</v>
      </c>
      <c r="I135" s="542">
        <f t="shared" si="23"/>
        <v>8489.0718258307934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8"/>
        <v/>
      </c>
      <c r="C136" s="472">
        <f>IF(D93="","-",+C135+1)</f>
        <v>2055</v>
      </c>
      <c r="D136" s="347">
        <f>IF(F135+SUM(E$99:E135)=D$92,F135,D$92-SUM(E$99:E135))</f>
        <v>17139</v>
      </c>
      <c r="E136" s="484">
        <f t="shared" si="19"/>
        <v>6256</v>
      </c>
      <c r="F136" s="485">
        <f t="shared" si="20"/>
        <v>10883</v>
      </c>
      <c r="G136" s="485">
        <f t="shared" si="21"/>
        <v>14011</v>
      </c>
      <c r="H136" s="486">
        <f t="shared" si="22"/>
        <v>7799.7691494407291</v>
      </c>
      <c r="I136" s="542">
        <f t="shared" si="23"/>
        <v>7799.7691494407291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8"/>
        <v/>
      </c>
      <c r="C137" s="472">
        <f>IF(D93="","-",+C136+1)</f>
        <v>2056</v>
      </c>
      <c r="D137" s="347">
        <f>IF(F136+SUM(E$99:E136)=D$92,F136,D$92-SUM(E$99:E136))</f>
        <v>10883</v>
      </c>
      <c r="E137" s="484">
        <f t="shared" si="19"/>
        <v>6256</v>
      </c>
      <c r="F137" s="485">
        <f t="shared" si="20"/>
        <v>4627</v>
      </c>
      <c r="G137" s="485">
        <f t="shared" si="21"/>
        <v>7755</v>
      </c>
      <c r="H137" s="486">
        <f t="shared" si="22"/>
        <v>7110.4664730506638</v>
      </c>
      <c r="I137" s="542">
        <f t="shared" si="23"/>
        <v>7110.4664730506638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8"/>
        <v/>
      </c>
      <c r="C138" s="472">
        <f>IF(D93="","-",+C137+1)</f>
        <v>2057</v>
      </c>
      <c r="D138" s="347">
        <f>IF(F137+SUM(E$99:E137)=D$92,F137,D$92-SUM(E$99:E137))</f>
        <v>4627</v>
      </c>
      <c r="E138" s="484">
        <f t="shared" si="19"/>
        <v>4627</v>
      </c>
      <c r="F138" s="485">
        <f t="shared" si="20"/>
        <v>0</v>
      </c>
      <c r="G138" s="485">
        <f t="shared" si="21"/>
        <v>2313.5</v>
      </c>
      <c r="H138" s="486">
        <f t="shared" si="22"/>
        <v>4881.9075674278156</v>
      </c>
      <c r="I138" s="542">
        <f t="shared" si="23"/>
        <v>4881.9075674278156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8"/>
        <v/>
      </c>
      <c r="C139" s="472">
        <f>IF(D93="","-",+C138+1)</f>
        <v>2058</v>
      </c>
      <c r="D139" s="347">
        <f>IF(F138+SUM(E$99:E138)=D$92,F138,D$92-SUM(E$99:E138))</f>
        <v>0</v>
      </c>
      <c r="E139" s="484">
        <f t="shared" si="19"/>
        <v>0</v>
      </c>
      <c r="F139" s="485">
        <f t="shared" si="20"/>
        <v>0</v>
      </c>
      <c r="G139" s="485">
        <f t="shared" si="21"/>
        <v>0</v>
      </c>
      <c r="H139" s="486">
        <f t="shared" si="22"/>
        <v>0</v>
      </c>
      <c r="I139" s="542">
        <f t="shared" si="23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8"/>
        <v/>
      </c>
      <c r="C140" s="472">
        <f>IF(D93="","-",+C139+1)</f>
        <v>2059</v>
      </c>
      <c r="D140" s="347">
        <f>IF(F139+SUM(E$99:E139)=D$92,F139,D$92-SUM(E$99:E139))</f>
        <v>0</v>
      </c>
      <c r="E140" s="484">
        <f t="shared" si="19"/>
        <v>0</v>
      </c>
      <c r="F140" s="485">
        <f t="shared" si="20"/>
        <v>0</v>
      </c>
      <c r="G140" s="485">
        <f t="shared" si="21"/>
        <v>0</v>
      </c>
      <c r="H140" s="486">
        <f t="shared" si="22"/>
        <v>0</v>
      </c>
      <c r="I140" s="542">
        <f t="shared" si="23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8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486">
        <f t="shared" si="22"/>
        <v>0</v>
      </c>
      <c r="I141" s="542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8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486">
        <f t="shared" si="22"/>
        <v>0</v>
      </c>
      <c r="I142" s="542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8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486">
        <f t="shared" si="22"/>
        <v>0</v>
      </c>
      <c r="I143" s="542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8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486">
        <f t="shared" si="22"/>
        <v>0</v>
      </c>
      <c r="I144" s="542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8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486">
        <f t="shared" si="22"/>
        <v>0</v>
      </c>
      <c r="I145" s="542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8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486">
        <f t="shared" si="22"/>
        <v>0</v>
      </c>
      <c r="I146" s="542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8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486">
        <f t="shared" si="22"/>
        <v>0</v>
      </c>
      <c r="I147" s="542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8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486">
        <f t="shared" si="22"/>
        <v>0</v>
      </c>
      <c r="I148" s="542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8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486">
        <f t="shared" si="22"/>
        <v>0</v>
      </c>
      <c r="I149" s="542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8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486">
        <f t="shared" si="22"/>
        <v>0</v>
      </c>
      <c r="I150" s="542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8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486">
        <f t="shared" si="22"/>
        <v>0</v>
      </c>
      <c r="I151" s="542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8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486">
        <f t="shared" si="22"/>
        <v>0</v>
      </c>
      <c r="I152" s="542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8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486">
        <f t="shared" si="22"/>
        <v>0</v>
      </c>
      <c r="I153" s="542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8"/>
        <v/>
      </c>
      <c r="C154" s="489">
        <f>IF(D93="","-",+C153+1)</f>
        <v>2073</v>
      </c>
      <c r="D154" s="491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244000</v>
      </c>
      <c r="F155" s="348"/>
      <c r="G155" s="348"/>
      <c r="H155" s="348">
        <f>SUM(H99:H154)</f>
        <v>773818.18572351593</v>
      </c>
      <c r="I155" s="348">
        <f>SUM(I99:I154)</f>
        <v>773818.18572351593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2"/>
  <sheetViews>
    <sheetView zoomScale="80" zoomScaleNormal="80" workbookViewId="0">
      <selection activeCell="D96" sqref="D9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23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138269.97206377087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138269.97206377087</v>
      </c>
      <c r="O6" s="233"/>
      <c r="P6" s="233"/>
    </row>
    <row r="7" spans="1:16" ht="13.5" thickBot="1">
      <c r="C7" s="431" t="s">
        <v>46</v>
      </c>
      <c r="D7" s="599" t="s">
        <v>301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302</v>
      </c>
      <c r="E9" s="577" t="s">
        <v>303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1165593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27752.214285714286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19755.555555555555</v>
      </c>
      <c r="F17" s="584">
        <v>1758244.4444444445</v>
      </c>
      <c r="G17" s="608">
        <v>125038.30164155026</v>
      </c>
      <c r="H17" s="587">
        <v>125038.30164155026</v>
      </c>
      <c r="I17" s="475">
        <f>H17-G17</f>
        <v>0</v>
      </c>
      <c r="J17" s="475"/>
      <c r="K17" s="554">
        <f>+G17</f>
        <v>125038.30164155026</v>
      </c>
      <c r="L17" s="477">
        <f t="shared" ref="L17:L72" si="0">IF(K17&lt;&gt;0,+G17-K17,0)</f>
        <v>0</v>
      </c>
      <c r="M17" s="554">
        <f>+H17</f>
        <v>125038.30164155026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2019</v>
      </c>
      <c r="D18" s="584">
        <v>2017244.4444444445</v>
      </c>
      <c r="E18" s="585">
        <v>50925</v>
      </c>
      <c r="F18" s="584">
        <v>1966319.4444444445</v>
      </c>
      <c r="G18" s="585">
        <v>273320.66219595348</v>
      </c>
      <c r="H18" s="587">
        <v>273320.66219595348</v>
      </c>
      <c r="I18" s="475">
        <f>H18-G18</f>
        <v>0</v>
      </c>
      <c r="J18" s="475"/>
      <c r="K18" s="478">
        <f>+G18</f>
        <v>273320.66219595348</v>
      </c>
      <c r="L18" s="478">
        <f t="shared" si="0"/>
        <v>0</v>
      </c>
      <c r="M18" s="478">
        <f>+H18</f>
        <v>273320.66219595348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1141057.3333333333</v>
      </c>
      <c r="E19" s="585">
        <v>28579.142857142859</v>
      </c>
      <c r="F19" s="584">
        <v>1112478.1904761903</v>
      </c>
      <c r="G19" s="585">
        <v>150275.44361099388</v>
      </c>
      <c r="H19" s="587">
        <v>150275.44361099388</v>
      </c>
      <c r="I19" s="475">
        <f t="shared" ref="I19:I71" si="3">H19-G19</f>
        <v>0</v>
      </c>
      <c r="J19" s="475"/>
      <c r="K19" s="478">
        <f>+G19</f>
        <v>150275.44361099388</v>
      </c>
      <c r="L19" s="478">
        <f t="shared" ref="L19" si="4">IF(K19&lt;&gt;0,+G19-K19,0)</f>
        <v>0</v>
      </c>
      <c r="M19" s="478">
        <f>+H19</f>
        <v>150275.44361099388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1076920.3015873015</v>
      </c>
      <c r="E20" s="585">
        <v>27353.023255813954</v>
      </c>
      <c r="F20" s="584">
        <v>1049567.2783314877</v>
      </c>
      <c r="G20" s="585">
        <v>141993.72505975311</v>
      </c>
      <c r="H20" s="587">
        <v>141993.72505975311</v>
      </c>
      <c r="I20" s="475">
        <f t="shared" si="3"/>
        <v>0</v>
      </c>
      <c r="J20" s="475"/>
      <c r="K20" s="478">
        <f>+G20</f>
        <v>141993.72505975311</v>
      </c>
      <c r="L20" s="478">
        <f t="shared" ref="L20" si="6">IF(K20&lt;&gt;0,+G20-K20,0)</f>
        <v>0</v>
      </c>
      <c r="M20" s="478">
        <f>+H20</f>
        <v>141993.72505975311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>IU</v>
      </c>
      <c r="C21" s="472">
        <f>IF(D11="","-",+C20+1)</f>
        <v>2022</v>
      </c>
      <c r="D21" s="584">
        <v>1038980.2783314877</v>
      </c>
      <c r="E21" s="585">
        <v>27752.214285714286</v>
      </c>
      <c r="F21" s="584">
        <v>1011228.0640457734</v>
      </c>
      <c r="G21" s="585">
        <v>138269.97206377087</v>
      </c>
      <c r="H21" s="587">
        <v>138269.97206377087</v>
      </c>
      <c r="I21" s="475">
        <f t="shared" si="3"/>
        <v>0</v>
      </c>
      <c r="J21" s="475"/>
      <c r="K21" s="478">
        <f>+G21</f>
        <v>138269.97206377087</v>
      </c>
      <c r="L21" s="478">
        <f t="shared" ref="L21" si="7">IF(K21&lt;&gt;0,+G21-K21,0)</f>
        <v>0</v>
      </c>
      <c r="M21" s="478">
        <f>+H21</f>
        <v>138269.97206377087</v>
      </c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1011228.0640457734</v>
      </c>
      <c r="E22" s="484">
        <f t="shared" ref="E22:E71" si="8">IF(+I$14&lt;F21,I$14,D22)</f>
        <v>27752.214285714286</v>
      </c>
      <c r="F22" s="485">
        <f t="shared" ref="F22:F71" si="9">+D22-E22</f>
        <v>983475.84976005903</v>
      </c>
      <c r="G22" s="486">
        <f t="shared" ref="G22:G71" si="10">(D22+F22)/2*I$12+E22</f>
        <v>135277.97126771821</v>
      </c>
      <c r="H22" s="455">
        <f t="shared" ref="H22:H71" si="11">+(D22+F22)/2*I$13+E22</f>
        <v>135277.97126771821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983475.84976005903</v>
      </c>
      <c r="E23" s="484">
        <f t="shared" si="8"/>
        <v>27752.214285714286</v>
      </c>
      <c r="F23" s="485">
        <f t="shared" si="9"/>
        <v>955723.63547434472</v>
      </c>
      <c r="G23" s="486">
        <f t="shared" si="10"/>
        <v>132285.97047166553</v>
      </c>
      <c r="H23" s="455">
        <f t="shared" si="11"/>
        <v>132285.97047166553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955723.63547434472</v>
      </c>
      <c r="E24" s="484">
        <f t="shared" si="8"/>
        <v>27752.214285714286</v>
      </c>
      <c r="F24" s="485">
        <f t="shared" si="9"/>
        <v>927971.4211886304</v>
      </c>
      <c r="G24" s="486">
        <f t="shared" si="10"/>
        <v>129293.96967561287</v>
      </c>
      <c r="H24" s="455">
        <f t="shared" si="11"/>
        <v>129293.96967561287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927971.4211886304</v>
      </c>
      <c r="E25" s="484">
        <f t="shared" si="8"/>
        <v>27752.214285714286</v>
      </c>
      <c r="F25" s="485">
        <f t="shared" si="9"/>
        <v>900219.20690291608</v>
      </c>
      <c r="G25" s="486">
        <f t="shared" si="10"/>
        <v>126301.9688795602</v>
      </c>
      <c r="H25" s="455">
        <f t="shared" si="11"/>
        <v>126301.9688795602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900219.20690291608</v>
      </c>
      <c r="E26" s="484">
        <f t="shared" si="8"/>
        <v>27752.214285714286</v>
      </c>
      <c r="F26" s="485">
        <f t="shared" si="9"/>
        <v>872466.99261720176</v>
      </c>
      <c r="G26" s="486">
        <f t="shared" si="10"/>
        <v>123309.96808350753</v>
      </c>
      <c r="H26" s="455">
        <f t="shared" si="11"/>
        <v>123309.96808350753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872466.99261720176</v>
      </c>
      <c r="E27" s="484">
        <f t="shared" si="8"/>
        <v>27752.214285714286</v>
      </c>
      <c r="F27" s="485">
        <f t="shared" si="9"/>
        <v>844714.77833148744</v>
      </c>
      <c r="G27" s="486">
        <f t="shared" si="10"/>
        <v>120317.96728745486</v>
      </c>
      <c r="H27" s="455">
        <f t="shared" si="11"/>
        <v>120317.96728745486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844714.77833148744</v>
      </c>
      <c r="E28" s="484">
        <f t="shared" si="8"/>
        <v>27752.214285714286</v>
      </c>
      <c r="F28" s="485">
        <f t="shared" si="9"/>
        <v>816962.56404577312</v>
      </c>
      <c r="G28" s="486">
        <f t="shared" si="10"/>
        <v>117325.96649140219</v>
      </c>
      <c r="H28" s="455">
        <f t="shared" si="11"/>
        <v>117325.96649140219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816962.56404577312</v>
      </c>
      <c r="E29" s="484">
        <f t="shared" si="8"/>
        <v>27752.214285714286</v>
      </c>
      <c r="F29" s="485">
        <f t="shared" si="9"/>
        <v>789210.3497600588</v>
      </c>
      <c r="G29" s="486">
        <f t="shared" si="10"/>
        <v>114333.96569534951</v>
      </c>
      <c r="H29" s="455">
        <f t="shared" si="11"/>
        <v>114333.96569534951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789210.3497600588</v>
      </c>
      <c r="E30" s="484">
        <f t="shared" si="8"/>
        <v>27752.214285714286</v>
      </c>
      <c r="F30" s="485">
        <f t="shared" si="9"/>
        <v>761458.13547434448</v>
      </c>
      <c r="G30" s="486">
        <f t="shared" si="10"/>
        <v>111341.96489929684</v>
      </c>
      <c r="H30" s="455">
        <f t="shared" si="11"/>
        <v>111341.96489929684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761458.13547434448</v>
      </c>
      <c r="E31" s="484">
        <f t="shared" si="8"/>
        <v>27752.214285714286</v>
      </c>
      <c r="F31" s="485">
        <f t="shared" si="9"/>
        <v>733705.92118863016</v>
      </c>
      <c r="G31" s="486">
        <f t="shared" si="10"/>
        <v>108349.96410324416</v>
      </c>
      <c r="H31" s="455">
        <f t="shared" si="11"/>
        <v>108349.96410324416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733705.92118863016</v>
      </c>
      <c r="E32" s="484">
        <f t="shared" si="8"/>
        <v>27752.214285714286</v>
      </c>
      <c r="F32" s="485">
        <f t="shared" si="9"/>
        <v>705953.70690291584</v>
      </c>
      <c r="G32" s="486">
        <f t="shared" si="10"/>
        <v>105357.96330719149</v>
      </c>
      <c r="H32" s="455">
        <f t="shared" si="11"/>
        <v>105357.96330719149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705953.70690291584</v>
      </c>
      <c r="E33" s="484">
        <f t="shared" si="8"/>
        <v>27752.214285714286</v>
      </c>
      <c r="F33" s="485">
        <f t="shared" si="9"/>
        <v>678201.49261720153</v>
      </c>
      <c r="G33" s="486">
        <f t="shared" si="10"/>
        <v>102365.96251113882</v>
      </c>
      <c r="H33" s="455">
        <f t="shared" si="11"/>
        <v>102365.96251113882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678201.49261720153</v>
      </c>
      <c r="E34" s="484">
        <f t="shared" si="8"/>
        <v>27752.214285714286</v>
      </c>
      <c r="F34" s="485">
        <f t="shared" si="9"/>
        <v>650449.27833148721</v>
      </c>
      <c r="G34" s="486">
        <f t="shared" si="10"/>
        <v>99373.961715086145</v>
      </c>
      <c r="H34" s="455">
        <f t="shared" si="11"/>
        <v>99373.961715086145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650449.27833148721</v>
      </c>
      <c r="E35" s="484">
        <f t="shared" si="8"/>
        <v>27752.214285714286</v>
      </c>
      <c r="F35" s="485">
        <f t="shared" si="9"/>
        <v>622697.06404577289</v>
      </c>
      <c r="G35" s="486">
        <f t="shared" si="10"/>
        <v>96381.960919033474</v>
      </c>
      <c r="H35" s="455">
        <f t="shared" si="11"/>
        <v>96381.960919033474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622697.06404577289</v>
      </c>
      <c r="E36" s="484">
        <f t="shared" si="8"/>
        <v>27752.214285714286</v>
      </c>
      <c r="F36" s="485">
        <f t="shared" si="9"/>
        <v>594944.84976005857</v>
      </c>
      <c r="G36" s="486">
        <f t="shared" si="10"/>
        <v>93389.960122980803</v>
      </c>
      <c r="H36" s="455">
        <f t="shared" si="11"/>
        <v>93389.960122980803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594944.84976005857</v>
      </c>
      <c r="E37" s="484">
        <f t="shared" si="8"/>
        <v>27752.214285714286</v>
      </c>
      <c r="F37" s="485">
        <f t="shared" si="9"/>
        <v>567192.63547434425</v>
      </c>
      <c r="G37" s="486">
        <f t="shared" si="10"/>
        <v>90397.959326928132</v>
      </c>
      <c r="H37" s="455">
        <f t="shared" si="11"/>
        <v>90397.959326928132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567192.63547434425</v>
      </c>
      <c r="E38" s="484">
        <f t="shared" si="8"/>
        <v>27752.214285714286</v>
      </c>
      <c r="F38" s="485">
        <f t="shared" si="9"/>
        <v>539440.42118862993</v>
      </c>
      <c r="G38" s="486">
        <f t="shared" si="10"/>
        <v>87405.958530875461</v>
      </c>
      <c r="H38" s="455">
        <f t="shared" si="11"/>
        <v>87405.958530875461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539440.42118862993</v>
      </c>
      <c r="E39" s="484">
        <f t="shared" si="8"/>
        <v>27752.214285714286</v>
      </c>
      <c r="F39" s="485">
        <f t="shared" si="9"/>
        <v>511688.20690291567</v>
      </c>
      <c r="G39" s="486">
        <f t="shared" si="10"/>
        <v>84413.95773482279</v>
      </c>
      <c r="H39" s="455">
        <f t="shared" si="11"/>
        <v>84413.95773482279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511688.20690291567</v>
      </c>
      <c r="E40" s="484">
        <f t="shared" si="8"/>
        <v>27752.214285714286</v>
      </c>
      <c r="F40" s="485">
        <f t="shared" si="9"/>
        <v>483935.99261720141</v>
      </c>
      <c r="G40" s="486">
        <f t="shared" si="10"/>
        <v>81421.956938770119</v>
      </c>
      <c r="H40" s="455">
        <f t="shared" si="11"/>
        <v>81421.956938770119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483935.99261720141</v>
      </c>
      <c r="E41" s="484">
        <f t="shared" si="8"/>
        <v>27752.214285714286</v>
      </c>
      <c r="F41" s="485">
        <f t="shared" si="9"/>
        <v>456183.77833148715</v>
      </c>
      <c r="G41" s="486">
        <f t="shared" si="10"/>
        <v>78429.956142717449</v>
      </c>
      <c r="H41" s="455">
        <f t="shared" si="11"/>
        <v>78429.956142717449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456183.77833148715</v>
      </c>
      <c r="E42" s="484">
        <f t="shared" si="8"/>
        <v>27752.214285714286</v>
      </c>
      <c r="F42" s="485">
        <f t="shared" si="9"/>
        <v>428431.56404577289</v>
      </c>
      <c r="G42" s="486">
        <f t="shared" si="10"/>
        <v>75437.955346664792</v>
      </c>
      <c r="H42" s="455">
        <f t="shared" si="11"/>
        <v>75437.955346664792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428431.56404577289</v>
      </c>
      <c r="E43" s="484">
        <f t="shared" si="8"/>
        <v>27752.214285714286</v>
      </c>
      <c r="F43" s="485">
        <f t="shared" si="9"/>
        <v>400679.34976005863</v>
      </c>
      <c r="G43" s="486">
        <f t="shared" si="10"/>
        <v>72445.954550612121</v>
      </c>
      <c r="H43" s="455">
        <f t="shared" si="11"/>
        <v>72445.954550612121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400679.34976005863</v>
      </c>
      <c r="E44" s="484">
        <f t="shared" si="8"/>
        <v>27752.214285714286</v>
      </c>
      <c r="F44" s="485">
        <f t="shared" si="9"/>
        <v>372927.13547434437</v>
      </c>
      <c r="G44" s="486">
        <f t="shared" si="10"/>
        <v>69453.953754559465</v>
      </c>
      <c r="H44" s="455">
        <f t="shared" si="11"/>
        <v>69453.953754559465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372927.13547434437</v>
      </c>
      <c r="E45" s="484">
        <f t="shared" si="8"/>
        <v>27752.214285714286</v>
      </c>
      <c r="F45" s="485">
        <f t="shared" si="9"/>
        <v>345174.92118863011</v>
      </c>
      <c r="G45" s="486">
        <f t="shared" si="10"/>
        <v>66461.952958506794</v>
      </c>
      <c r="H45" s="455">
        <f t="shared" si="11"/>
        <v>66461.952958506794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345174.92118863011</v>
      </c>
      <c r="E46" s="484">
        <f t="shared" si="8"/>
        <v>27752.214285714286</v>
      </c>
      <c r="F46" s="485">
        <f t="shared" si="9"/>
        <v>317422.70690291584</v>
      </c>
      <c r="G46" s="486">
        <f t="shared" si="10"/>
        <v>63469.952162454138</v>
      </c>
      <c r="H46" s="455">
        <f t="shared" si="11"/>
        <v>63469.952162454138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317422.70690291584</v>
      </c>
      <c r="E47" s="484">
        <f t="shared" si="8"/>
        <v>27752.214285714286</v>
      </c>
      <c r="F47" s="485">
        <f t="shared" si="9"/>
        <v>289670.49261720158</v>
      </c>
      <c r="G47" s="486">
        <f t="shared" si="10"/>
        <v>60477.951366401459</v>
      </c>
      <c r="H47" s="455">
        <f t="shared" si="11"/>
        <v>60477.951366401459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289670.49261720158</v>
      </c>
      <c r="E48" s="484">
        <f t="shared" si="8"/>
        <v>27752.214285714286</v>
      </c>
      <c r="F48" s="485">
        <f t="shared" si="9"/>
        <v>261918.27833148729</v>
      </c>
      <c r="G48" s="486">
        <f t="shared" si="10"/>
        <v>57485.950570348796</v>
      </c>
      <c r="H48" s="455">
        <f t="shared" si="11"/>
        <v>57485.950570348796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261918.27833148729</v>
      </c>
      <c r="E49" s="484">
        <f t="shared" si="8"/>
        <v>27752.214285714286</v>
      </c>
      <c r="F49" s="485">
        <f t="shared" si="9"/>
        <v>234166.064045773</v>
      </c>
      <c r="G49" s="486">
        <f t="shared" si="10"/>
        <v>54493.949774296125</v>
      </c>
      <c r="H49" s="455">
        <f t="shared" si="11"/>
        <v>54493.949774296125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234166.064045773</v>
      </c>
      <c r="E50" s="484">
        <f t="shared" si="8"/>
        <v>27752.214285714286</v>
      </c>
      <c r="F50" s="485">
        <f t="shared" si="9"/>
        <v>206413.84976005871</v>
      </c>
      <c r="G50" s="486">
        <f t="shared" si="10"/>
        <v>51501.948978243454</v>
      </c>
      <c r="H50" s="455">
        <f t="shared" si="11"/>
        <v>51501.948978243454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206413.84976005871</v>
      </c>
      <c r="E51" s="484">
        <f t="shared" si="8"/>
        <v>27752.214285714286</v>
      </c>
      <c r="F51" s="485">
        <f t="shared" si="9"/>
        <v>178661.63547434442</v>
      </c>
      <c r="G51" s="486">
        <f t="shared" si="10"/>
        <v>48509.94818219079</v>
      </c>
      <c r="H51" s="455">
        <f t="shared" si="11"/>
        <v>48509.94818219079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178661.63547434442</v>
      </c>
      <c r="E52" s="484">
        <f t="shared" si="8"/>
        <v>27752.214285714286</v>
      </c>
      <c r="F52" s="485">
        <f t="shared" si="9"/>
        <v>150909.42118863013</v>
      </c>
      <c r="G52" s="486">
        <f t="shared" si="10"/>
        <v>45517.947386138119</v>
      </c>
      <c r="H52" s="455">
        <f t="shared" si="11"/>
        <v>45517.947386138119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150909.42118863013</v>
      </c>
      <c r="E53" s="484">
        <f t="shared" si="8"/>
        <v>27752.214285714286</v>
      </c>
      <c r="F53" s="485">
        <f t="shared" si="9"/>
        <v>123157.20690291584</v>
      </c>
      <c r="G53" s="486">
        <f t="shared" si="10"/>
        <v>42525.946590085456</v>
      </c>
      <c r="H53" s="455">
        <f t="shared" si="11"/>
        <v>42525.946590085456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123157.20690291584</v>
      </c>
      <c r="E54" s="484">
        <f t="shared" si="8"/>
        <v>27752.214285714286</v>
      </c>
      <c r="F54" s="485">
        <f t="shared" si="9"/>
        <v>95404.992617201555</v>
      </c>
      <c r="G54" s="486">
        <f t="shared" si="10"/>
        <v>39533.945794032785</v>
      </c>
      <c r="H54" s="455">
        <f t="shared" si="11"/>
        <v>39533.945794032785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95404.992617201555</v>
      </c>
      <c r="E55" s="484">
        <f t="shared" si="8"/>
        <v>27752.214285714286</v>
      </c>
      <c r="F55" s="485">
        <f t="shared" si="9"/>
        <v>67652.778331487265</v>
      </c>
      <c r="G55" s="486">
        <f t="shared" si="10"/>
        <v>36541.944997980114</v>
      </c>
      <c r="H55" s="455">
        <f t="shared" si="11"/>
        <v>36541.944997980114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67652.778331487265</v>
      </c>
      <c r="E56" s="484">
        <f t="shared" si="8"/>
        <v>27752.214285714286</v>
      </c>
      <c r="F56" s="485">
        <f t="shared" si="9"/>
        <v>39900.564045772975</v>
      </c>
      <c r="G56" s="486">
        <f t="shared" si="10"/>
        <v>33549.944201927443</v>
      </c>
      <c r="H56" s="455">
        <f t="shared" si="11"/>
        <v>33549.944201927443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39900.564045772975</v>
      </c>
      <c r="E57" s="484">
        <f t="shared" si="8"/>
        <v>27752.214285714286</v>
      </c>
      <c r="F57" s="485">
        <f t="shared" si="9"/>
        <v>12148.349760058689</v>
      </c>
      <c r="G57" s="486">
        <f t="shared" si="10"/>
        <v>30557.943405874776</v>
      </c>
      <c r="H57" s="455">
        <f t="shared" si="11"/>
        <v>30557.943405874776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12148.349760058689</v>
      </c>
      <c r="E58" s="484">
        <f t="shared" si="8"/>
        <v>12148.349760058689</v>
      </c>
      <c r="F58" s="485">
        <f t="shared" si="9"/>
        <v>0</v>
      </c>
      <c r="G58" s="486">
        <f t="shared" si="10"/>
        <v>12803.214121125768</v>
      </c>
      <c r="H58" s="455">
        <f t="shared" si="11"/>
        <v>12803.214121125768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1165593.0000000002</v>
      </c>
      <c r="F73" s="348"/>
      <c r="G73" s="348">
        <f>SUM(G17:G72)</f>
        <v>3826747.782817821</v>
      </c>
      <c r="H73" s="348">
        <f>SUM(H17:H72)</f>
        <v>3826747.782817821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23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138269.97206377087</v>
      </c>
      <c r="N87" s="508">
        <f>IF(J92&lt;D11,0,VLOOKUP(J92,C17:O72,11))</f>
        <v>138269.97206377087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145110.72961001651</v>
      </c>
      <c r="N88" s="512">
        <f>IF(J92&lt;D11,0,VLOOKUP(J92,C99:P154,7))</f>
        <v>145110.72961001651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Elk City 138KV Move Load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6840.7575462456443</v>
      </c>
      <c r="N89" s="517">
        <f>+N88-N87</f>
        <v>6840.7575462456443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TP2011110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1165593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29887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20674.5</v>
      </c>
      <c r="F99" s="584">
        <v>1757325.5</v>
      </c>
      <c r="G99" s="608">
        <v>878662.75</v>
      </c>
      <c r="H99" s="587">
        <v>110944.41567094853</v>
      </c>
      <c r="I99" s="607">
        <v>110944.41567094853</v>
      </c>
      <c r="J99" s="478">
        <f>+I99-H99</f>
        <v>0</v>
      </c>
      <c r="K99" s="478"/>
      <c r="L99" s="477">
        <f>+H99</f>
        <v>110944.41567094853</v>
      </c>
      <c r="M99" s="477">
        <f t="shared" ref="M99" si="12">IF(L99&lt;&gt;0,+H99-L99,0)</f>
        <v>0</v>
      </c>
      <c r="N99" s="477">
        <f>+I99</f>
        <v>110944.41567094853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1155505.5</v>
      </c>
      <c r="E100" s="585">
        <v>28687</v>
      </c>
      <c r="F100" s="586">
        <v>1126818.5</v>
      </c>
      <c r="G100" s="586">
        <v>1141162</v>
      </c>
      <c r="H100" s="606">
        <v>146356.80823022424</v>
      </c>
      <c r="I100" s="607">
        <v>146356.80823022424</v>
      </c>
      <c r="J100" s="478">
        <f t="shared" ref="J100:J130" si="15">+I100-H100</f>
        <v>0</v>
      </c>
      <c r="K100" s="478"/>
      <c r="L100" s="476">
        <f>H100</f>
        <v>146356.80823022424</v>
      </c>
      <c r="M100" s="349">
        <f>IF(L100&lt;&gt;0,+H100-L100,0)</f>
        <v>0</v>
      </c>
      <c r="N100" s="476">
        <f>I100</f>
        <v>146356.80823022424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>
      <c r="B101" s="160" t="str">
        <f t="shared" ref="B101:B154" si="18">IF(D101=F100,"","IU")</f>
        <v>IU</v>
      </c>
      <c r="C101" s="472">
        <f>IF(D93="","-",+C100+1)</f>
        <v>2020</v>
      </c>
      <c r="D101" s="584">
        <v>1116231.5</v>
      </c>
      <c r="E101" s="585">
        <v>27107</v>
      </c>
      <c r="F101" s="586">
        <v>1089124.5</v>
      </c>
      <c r="G101" s="586">
        <v>1102678</v>
      </c>
      <c r="H101" s="606">
        <v>154242.74183680658</v>
      </c>
      <c r="I101" s="607">
        <v>154242.74183680658</v>
      </c>
      <c r="J101" s="478">
        <f t="shared" si="15"/>
        <v>0</v>
      </c>
      <c r="K101" s="478"/>
      <c r="L101" s="476">
        <f>H101</f>
        <v>154242.74183680658</v>
      </c>
      <c r="M101" s="349">
        <f>IF(L101&lt;&gt;0,+H101-L101,0)</f>
        <v>0</v>
      </c>
      <c r="N101" s="476">
        <f>I101</f>
        <v>154242.74183680658</v>
      </c>
      <c r="O101" s="478">
        <f t="shared" si="16"/>
        <v>0</v>
      </c>
      <c r="P101" s="478">
        <f t="shared" si="17"/>
        <v>0</v>
      </c>
    </row>
    <row r="102" spans="1:16">
      <c r="B102" s="160" t="str">
        <f t="shared" si="18"/>
        <v/>
      </c>
      <c r="C102" s="472">
        <f>IF(D93="","-",+C101+1)</f>
        <v>2021</v>
      </c>
      <c r="D102" s="584">
        <v>1089124.5</v>
      </c>
      <c r="E102" s="585">
        <v>28429</v>
      </c>
      <c r="F102" s="586">
        <v>1060695.5</v>
      </c>
      <c r="G102" s="586">
        <v>1074910</v>
      </c>
      <c r="H102" s="606">
        <v>150746.01115745076</v>
      </c>
      <c r="I102" s="607">
        <v>150746.01115745076</v>
      </c>
      <c r="J102" s="478">
        <f t="shared" si="15"/>
        <v>0</v>
      </c>
      <c r="K102" s="478"/>
      <c r="L102" s="476">
        <f>H102</f>
        <v>150746.01115745076</v>
      </c>
      <c r="M102" s="349">
        <f>IF(L102&lt;&gt;0,+H102-L102,0)</f>
        <v>0</v>
      </c>
      <c r="N102" s="476">
        <f>I102</f>
        <v>150746.01115745076</v>
      </c>
      <c r="O102" s="478">
        <f t="shared" si="16"/>
        <v>0</v>
      </c>
      <c r="P102" s="478">
        <f t="shared" si="17"/>
        <v>0</v>
      </c>
    </row>
    <row r="103" spans="1:16">
      <c r="B103" s="160" t="str">
        <f t="shared" si="18"/>
        <v/>
      </c>
      <c r="C103" s="472">
        <f>IF(D93="","-",+C102+1)</f>
        <v>2022</v>
      </c>
      <c r="D103" s="347">
        <f>IF(F102+SUM(E$99:E102)=D$92,F102,D$92-SUM(E$99:E102))</f>
        <v>1060695.5</v>
      </c>
      <c r="E103" s="484">
        <f t="shared" ref="E103:E154" si="19">IF(+J$96&lt;F102,J$96,D103)</f>
        <v>29887</v>
      </c>
      <c r="F103" s="485">
        <f t="shared" ref="F103:F154" si="20">+D103-E103</f>
        <v>1030808.5</v>
      </c>
      <c r="G103" s="485">
        <f t="shared" ref="G103:G154" si="21">+(F103+D103)/2</f>
        <v>1045752</v>
      </c>
      <c r="H103" s="486">
        <f t="shared" ref="H103:H153" si="22">(D103+F103)/2*J$94+E103</f>
        <v>145110.72961001651</v>
      </c>
      <c r="I103" s="542">
        <f t="shared" ref="I103:I153" si="23">+J$95*G103+E103</f>
        <v>145110.72961001651</v>
      </c>
      <c r="J103" s="478">
        <f t="shared" si="15"/>
        <v>0</v>
      </c>
      <c r="K103" s="478"/>
      <c r="L103" s="487"/>
      <c r="M103" s="478">
        <f t="shared" ref="M103:M130" si="24">IF(L103&lt;&gt;0,+H103-L103,0)</f>
        <v>0</v>
      </c>
      <c r="N103" s="487"/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2023</v>
      </c>
      <c r="D104" s="347">
        <f>IF(F103+SUM(E$99:E103)=D$92,F103,D$92-SUM(E$99:E103))</f>
        <v>1030808.5</v>
      </c>
      <c r="E104" s="484">
        <f t="shared" si="19"/>
        <v>29887</v>
      </c>
      <c r="F104" s="485">
        <f t="shared" si="20"/>
        <v>1000921.5</v>
      </c>
      <c r="G104" s="485">
        <f t="shared" si="21"/>
        <v>1015865</v>
      </c>
      <c r="H104" s="486">
        <f t="shared" si="22"/>
        <v>141817.70066352194</v>
      </c>
      <c r="I104" s="542">
        <f t="shared" si="23"/>
        <v>141817.70066352194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2024</v>
      </c>
      <c r="D105" s="347">
        <f>IF(F104+SUM(E$99:E104)=D$92,F104,D$92-SUM(E$99:E104))</f>
        <v>1000921.5</v>
      </c>
      <c r="E105" s="484">
        <f t="shared" si="19"/>
        <v>29887</v>
      </c>
      <c r="F105" s="485">
        <f t="shared" si="20"/>
        <v>971034.5</v>
      </c>
      <c r="G105" s="485">
        <f t="shared" si="21"/>
        <v>985978</v>
      </c>
      <c r="H105" s="486">
        <f t="shared" si="22"/>
        <v>138524.67171702744</v>
      </c>
      <c r="I105" s="542">
        <f t="shared" si="23"/>
        <v>138524.67171702744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2025</v>
      </c>
      <c r="D106" s="347">
        <f>IF(F105+SUM(E$99:E105)=D$92,F105,D$92-SUM(E$99:E105))</f>
        <v>971034.5</v>
      </c>
      <c r="E106" s="484">
        <f t="shared" si="19"/>
        <v>29887</v>
      </c>
      <c r="F106" s="485">
        <f t="shared" si="20"/>
        <v>941147.5</v>
      </c>
      <c r="G106" s="485">
        <f t="shared" si="21"/>
        <v>956091</v>
      </c>
      <c r="H106" s="486">
        <f t="shared" si="22"/>
        <v>135231.64277053287</v>
      </c>
      <c r="I106" s="542">
        <f t="shared" si="23"/>
        <v>135231.64277053287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2026</v>
      </c>
      <c r="D107" s="347">
        <f>IF(F106+SUM(E$99:E106)=D$92,F106,D$92-SUM(E$99:E106))</f>
        <v>941147.5</v>
      </c>
      <c r="E107" s="484">
        <f t="shared" si="19"/>
        <v>29887</v>
      </c>
      <c r="F107" s="485">
        <f t="shared" si="20"/>
        <v>911260.5</v>
      </c>
      <c r="G107" s="485">
        <f t="shared" si="21"/>
        <v>926204</v>
      </c>
      <c r="H107" s="486">
        <f t="shared" si="22"/>
        <v>131938.61382403833</v>
      </c>
      <c r="I107" s="542">
        <f t="shared" si="23"/>
        <v>131938.61382403833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2027</v>
      </c>
      <c r="D108" s="347">
        <f>IF(F107+SUM(E$99:E107)=D$92,F107,D$92-SUM(E$99:E107))</f>
        <v>911260.5</v>
      </c>
      <c r="E108" s="484">
        <f t="shared" si="19"/>
        <v>29887</v>
      </c>
      <c r="F108" s="485">
        <f t="shared" si="20"/>
        <v>881373.5</v>
      </c>
      <c r="G108" s="485">
        <f t="shared" si="21"/>
        <v>896317</v>
      </c>
      <c r="H108" s="486">
        <f t="shared" si="22"/>
        <v>128645.58487754379</v>
      </c>
      <c r="I108" s="542">
        <f t="shared" si="23"/>
        <v>128645.58487754379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2028</v>
      </c>
      <c r="D109" s="347">
        <f>IF(F108+SUM(E$99:E108)=D$92,F108,D$92-SUM(E$99:E108))</f>
        <v>881373.5</v>
      </c>
      <c r="E109" s="484">
        <f t="shared" si="19"/>
        <v>29887</v>
      </c>
      <c r="F109" s="485">
        <f t="shared" si="20"/>
        <v>851486.5</v>
      </c>
      <c r="G109" s="485">
        <f t="shared" si="21"/>
        <v>866430</v>
      </c>
      <c r="H109" s="486">
        <f t="shared" si="22"/>
        <v>125352.55593104924</v>
      </c>
      <c r="I109" s="542">
        <f t="shared" si="23"/>
        <v>125352.55593104924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2029</v>
      </c>
      <c r="D110" s="347">
        <f>IF(F109+SUM(E$99:E109)=D$92,F109,D$92-SUM(E$99:E109))</f>
        <v>851486.5</v>
      </c>
      <c r="E110" s="484">
        <f t="shared" si="19"/>
        <v>29887</v>
      </c>
      <c r="F110" s="485">
        <f t="shared" si="20"/>
        <v>821599.5</v>
      </c>
      <c r="G110" s="485">
        <f t="shared" si="21"/>
        <v>836543</v>
      </c>
      <c r="H110" s="486">
        <f t="shared" si="22"/>
        <v>122059.5269845547</v>
      </c>
      <c r="I110" s="542">
        <f t="shared" si="23"/>
        <v>122059.5269845547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2030</v>
      </c>
      <c r="D111" s="347">
        <f>IF(F110+SUM(E$99:E110)=D$92,F110,D$92-SUM(E$99:E110))</f>
        <v>821599.5</v>
      </c>
      <c r="E111" s="484">
        <f t="shared" si="19"/>
        <v>29887</v>
      </c>
      <c r="F111" s="485">
        <f t="shared" si="20"/>
        <v>791712.5</v>
      </c>
      <c r="G111" s="485">
        <f t="shared" si="21"/>
        <v>806656</v>
      </c>
      <c r="H111" s="486">
        <f t="shared" si="22"/>
        <v>118766.49803806015</v>
      </c>
      <c r="I111" s="542">
        <f t="shared" si="23"/>
        <v>118766.49803806015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2031</v>
      </c>
      <c r="D112" s="347">
        <f>IF(F111+SUM(E$99:E111)=D$92,F111,D$92-SUM(E$99:E111))</f>
        <v>791712.5</v>
      </c>
      <c r="E112" s="484">
        <f t="shared" si="19"/>
        <v>29887</v>
      </c>
      <c r="F112" s="485">
        <f t="shared" si="20"/>
        <v>761825.5</v>
      </c>
      <c r="G112" s="485">
        <f t="shared" si="21"/>
        <v>776769</v>
      </c>
      <c r="H112" s="486">
        <f t="shared" si="22"/>
        <v>115473.46909156561</v>
      </c>
      <c r="I112" s="542">
        <f t="shared" si="23"/>
        <v>115473.46909156561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2032</v>
      </c>
      <c r="D113" s="347">
        <f>IF(F112+SUM(E$99:E112)=D$92,F112,D$92-SUM(E$99:E112))</f>
        <v>761825.5</v>
      </c>
      <c r="E113" s="484">
        <f t="shared" si="19"/>
        <v>29887</v>
      </c>
      <c r="F113" s="485">
        <f t="shared" si="20"/>
        <v>731938.5</v>
      </c>
      <c r="G113" s="485">
        <f t="shared" si="21"/>
        <v>746882</v>
      </c>
      <c r="H113" s="486">
        <f t="shared" si="22"/>
        <v>112180.44014507106</v>
      </c>
      <c r="I113" s="542">
        <f t="shared" si="23"/>
        <v>112180.44014507106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2033</v>
      </c>
      <c r="D114" s="347">
        <f>IF(F113+SUM(E$99:E113)=D$92,F113,D$92-SUM(E$99:E113))</f>
        <v>731938.5</v>
      </c>
      <c r="E114" s="484">
        <f t="shared" si="19"/>
        <v>29887</v>
      </c>
      <c r="F114" s="485">
        <f t="shared" si="20"/>
        <v>702051.5</v>
      </c>
      <c r="G114" s="485">
        <f t="shared" si="21"/>
        <v>716995</v>
      </c>
      <c r="H114" s="486">
        <f t="shared" si="22"/>
        <v>108887.41119857652</v>
      </c>
      <c r="I114" s="542">
        <f t="shared" si="23"/>
        <v>108887.41119857652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2034</v>
      </c>
      <c r="D115" s="347">
        <f>IF(F114+SUM(E$99:E114)=D$92,F114,D$92-SUM(E$99:E114))</f>
        <v>702051.5</v>
      </c>
      <c r="E115" s="484">
        <f t="shared" si="19"/>
        <v>29887</v>
      </c>
      <c r="F115" s="485">
        <f t="shared" si="20"/>
        <v>672164.5</v>
      </c>
      <c r="G115" s="485">
        <f t="shared" si="21"/>
        <v>687108</v>
      </c>
      <c r="H115" s="486">
        <f t="shared" si="22"/>
        <v>105594.38225208197</v>
      </c>
      <c r="I115" s="542">
        <f t="shared" si="23"/>
        <v>105594.38225208197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2035</v>
      </c>
      <c r="D116" s="347">
        <f>IF(F115+SUM(E$99:E115)=D$92,F115,D$92-SUM(E$99:E115))</f>
        <v>672164.5</v>
      </c>
      <c r="E116" s="484">
        <f t="shared" si="19"/>
        <v>29887</v>
      </c>
      <c r="F116" s="485">
        <f t="shared" si="20"/>
        <v>642277.5</v>
      </c>
      <c r="G116" s="485">
        <f t="shared" si="21"/>
        <v>657221</v>
      </c>
      <c r="H116" s="486">
        <f t="shared" si="22"/>
        <v>102301.35330558743</v>
      </c>
      <c r="I116" s="542">
        <f t="shared" si="23"/>
        <v>102301.35330558743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2036</v>
      </c>
      <c r="D117" s="347">
        <f>IF(F116+SUM(E$99:E116)=D$92,F116,D$92-SUM(E$99:E116))</f>
        <v>642277.5</v>
      </c>
      <c r="E117" s="484">
        <f t="shared" si="19"/>
        <v>29887</v>
      </c>
      <c r="F117" s="485">
        <f t="shared" si="20"/>
        <v>612390.5</v>
      </c>
      <c r="G117" s="485">
        <f t="shared" si="21"/>
        <v>627334</v>
      </c>
      <c r="H117" s="486">
        <f t="shared" si="22"/>
        <v>99008.324359092876</v>
      </c>
      <c r="I117" s="542">
        <f t="shared" si="23"/>
        <v>99008.324359092876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2037</v>
      </c>
      <c r="D118" s="347">
        <f>IF(F117+SUM(E$99:E117)=D$92,F117,D$92-SUM(E$99:E117))</f>
        <v>612390.5</v>
      </c>
      <c r="E118" s="484">
        <f t="shared" si="19"/>
        <v>29887</v>
      </c>
      <c r="F118" s="485">
        <f t="shared" si="20"/>
        <v>582503.5</v>
      </c>
      <c r="G118" s="485">
        <f t="shared" si="21"/>
        <v>597447</v>
      </c>
      <c r="H118" s="486">
        <f t="shared" si="22"/>
        <v>95715.295412598338</v>
      </c>
      <c r="I118" s="542">
        <f t="shared" si="23"/>
        <v>95715.295412598338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2038</v>
      </c>
      <c r="D119" s="347">
        <f>IF(F118+SUM(E$99:E118)=D$92,F118,D$92-SUM(E$99:E118))</f>
        <v>582503.5</v>
      </c>
      <c r="E119" s="484">
        <f t="shared" si="19"/>
        <v>29887</v>
      </c>
      <c r="F119" s="485">
        <f t="shared" si="20"/>
        <v>552616.5</v>
      </c>
      <c r="G119" s="485">
        <f t="shared" si="21"/>
        <v>567560</v>
      </c>
      <c r="H119" s="486">
        <f t="shared" si="22"/>
        <v>92422.266466103785</v>
      </c>
      <c r="I119" s="542">
        <f t="shared" si="23"/>
        <v>92422.266466103785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2039</v>
      </c>
      <c r="D120" s="347">
        <f>IF(F119+SUM(E$99:E119)=D$92,F119,D$92-SUM(E$99:E119))</f>
        <v>552616.5</v>
      </c>
      <c r="E120" s="484">
        <f t="shared" si="19"/>
        <v>29887</v>
      </c>
      <c r="F120" s="485">
        <f t="shared" si="20"/>
        <v>522729.5</v>
      </c>
      <c r="G120" s="485">
        <f t="shared" si="21"/>
        <v>537673</v>
      </c>
      <c r="H120" s="486">
        <f t="shared" si="22"/>
        <v>89129.237519609247</v>
      </c>
      <c r="I120" s="542">
        <f t="shared" si="23"/>
        <v>89129.237519609247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2040</v>
      </c>
      <c r="D121" s="347">
        <f>IF(F120+SUM(E$99:E120)=D$92,F120,D$92-SUM(E$99:E120))</f>
        <v>522729.5</v>
      </c>
      <c r="E121" s="484">
        <f t="shared" si="19"/>
        <v>29887</v>
      </c>
      <c r="F121" s="485">
        <f t="shared" si="20"/>
        <v>492842.5</v>
      </c>
      <c r="G121" s="485">
        <f t="shared" si="21"/>
        <v>507786</v>
      </c>
      <c r="H121" s="486">
        <f t="shared" si="22"/>
        <v>85836.208573114709</v>
      </c>
      <c r="I121" s="542">
        <f t="shared" si="23"/>
        <v>85836.208573114709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2041</v>
      </c>
      <c r="D122" s="347">
        <f>IF(F121+SUM(E$99:E121)=D$92,F121,D$92-SUM(E$99:E121))</f>
        <v>492842.5</v>
      </c>
      <c r="E122" s="484">
        <f t="shared" si="19"/>
        <v>29887</v>
      </c>
      <c r="F122" s="485">
        <f t="shared" si="20"/>
        <v>462955.5</v>
      </c>
      <c r="G122" s="485">
        <f t="shared" si="21"/>
        <v>477899</v>
      </c>
      <c r="H122" s="486">
        <f t="shared" si="22"/>
        <v>82543.179626620156</v>
      </c>
      <c r="I122" s="542">
        <f t="shared" si="23"/>
        <v>82543.179626620156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2042</v>
      </c>
      <c r="D123" s="347">
        <f>IF(F122+SUM(E$99:E122)=D$92,F122,D$92-SUM(E$99:E122))</f>
        <v>462955.5</v>
      </c>
      <c r="E123" s="484">
        <f t="shared" si="19"/>
        <v>29887</v>
      </c>
      <c r="F123" s="485">
        <f t="shared" si="20"/>
        <v>433068.5</v>
      </c>
      <c r="G123" s="485">
        <f t="shared" si="21"/>
        <v>448012</v>
      </c>
      <c r="H123" s="486">
        <f t="shared" si="22"/>
        <v>79250.150680125604</v>
      </c>
      <c r="I123" s="542">
        <f t="shared" si="23"/>
        <v>79250.150680125604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2043</v>
      </c>
      <c r="D124" s="347">
        <f>IF(F123+SUM(E$99:E123)=D$92,F123,D$92-SUM(E$99:E123))</f>
        <v>433068.5</v>
      </c>
      <c r="E124" s="484">
        <f t="shared" si="19"/>
        <v>29887</v>
      </c>
      <c r="F124" s="485">
        <f t="shared" si="20"/>
        <v>403181.5</v>
      </c>
      <c r="G124" s="485">
        <f t="shared" si="21"/>
        <v>418125</v>
      </c>
      <c r="H124" s="486">
        <f t="shared" si="22"/>
        <v>75957.121733631066</v>
      </c>
      <c r="I124" s="542">
        <f t="shared" si="23"/>
        <v>75957.121733631066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2044</v>
      </c>
      <c r="D125" s="347">
        <f>IF(F124+SUM(E$99:E124)=D$92,F124,D$92-SUM(E$99:E124))</f>
        <v>403181.5</v>
      </c>
      <c r="E125" s="484">
        <f t="shared" si="19"/>
        <v>29887</v>
      </c>
      <c r="F125" s="485">
        <f t="shared" si="20"/>
        <v>373294.5</v>
      </c>
      <c r="G125" s="485">
        <f t="shared" si="21"/>
        <v>388238</v>
      </c>
      <c r="H125" s="486">
        <f t="shared" si="22"/>
        <v>72664.092787136527</v>
      </c>
      <c r="I125" s="542">
        <f t="shared" si="23"/>
        <v>72664.092787136527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2045</v>
      </c>
      <c r="D126" s="347">
        <f>IF(F125+SUM(E$99:E125)=D$92,F125,D$92-SUM(E$99:E125))</f>
        <v>373294.5</v>
      </c>
      <c r="E126" s="484">
        <f t="shared" si="19"/>
        <v>29887</v>
      </c>
      <c r="F126" s="485">
        <f t="shared" si="20"/>
        <v>343407.5</v>
      </c>
      <c r="G126" s="485">
        <f t="shared" si="21"/>
        <v>358351</v>
      </c>
      <c r="H126" s="486">
        <f t="shared" si="22"/>
        <v>69371.063840641975</v>
      </c>
      <c r="I126" s="542">
        <f t="shared" si="23"/>
        <v>69371.063840641975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2046</v>
      </c>
      <c r="D127" s="347">
        <f>IF(F126+SUM(E$99:E126)=D$92,F126,D$92-SUM(E$99:E126))</f>
        <v>343407.5</v>
      </c>
      <c r="E127" s="484">
        <f t="shared" si="19"/>
        <v>29887</v>
      </c>
      <c r="F127" s="485">
        <f t="shared" si="20"/>
        <v>313520.5</v>
      </c>
      <c r="G127" s="485">
        <f t="shared" si="21"/>
        <v>328464</v>
      </c>
      <c r="H127" s="486">
        <f t="shared" si="22"/>
        <v>66078.034894147422</v>
      </c>
      <c r="I127" s="542">
        <f t="shared" si="23"/>
        <v>66078.034894147422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2047</v>
      </c>
      <c r="D128" s="347">
        <f>IF(F127+SUM(E$99:E127)=D$92,F127,D$92-SUM(E$99:E127))</f>
        <v>313520.5</v>
      </c>
      <c r="E128" s="484">
        <f t="shared" si="19"/>
        <v>29887</v>
      </c>
      <c r="F128" s="485">
        <f t="shared" si="20"/>
        <v>283633.5</v>
      </c>
      <c r="G128" s="485">
        <f t="shared" si="21"/>
        <v>298577</v>
      </c>
      <c r="H128" s="486">
        <f t="shared" si="22"/>
        <v>62785.005947652884</v>
      </c>
      <c r="I128" s="542">
        <f t="shared" si="23"/>
        <v>62785.005947652884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2048</v>
      </c>
      <c r="D129" s="347">
        <f>IF(F128+SUM(E$99:E128)=D$92,F128,D$92-SUM(E$99:E128))</f>
        <v>283633.5</v>
      </c>
      <c r="E129" s="484">
        <f t="shared" si="19"/>
        <v>29887</v>
      </c>
      <c r="F129" s="485">
        <f t="shared" si="20"/>
        <v>253746.5</v>
      </c>
      <c r="G129" s="485">
        <f t="shared" si="21"/>
        <v>268690</v>
      </c>
      <c r="H129" s="486">
        <f t="shared" si="22"/>
        <v>59491.977001158339</v>
      </c>
      <c r="I129" s="542">
        <f t="shared" si="23"/>
        <v>59491.977001158339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2049</v>
      </c>
      <c r="D130" s="347">
        <f>IF(F129+SUM(E$99:E129)=D$92,F129,D$92-SUM(E$99:E129))</f>
        <v>253746.5</v>
      </c>
      <c r="E130" s="484">
        <f t="shared" si="19"/>
        <v>29887</v>
      </c>
      <c r="F130" s="485">
        <f t="shared" si="20"/>
        <v>223859.5</v>
      </c>
      <c r="G130" s="485">
        <f t="shared" si="21"/>
        <v>238803</v>
      </c>
      <c r="H130" s="486">
        <f t="shared" si="22"/>
        <v>56198.948054663793</v>
      </c>
      <c r="I130" s="542">
        <f t="shared" si="23"/>
        <v>56198.948054663793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2050</v>
      </c>
      <c r="D131" s="347">
        <f>IF(F130+SUM(E$99:E130)=D$92,F130,D$92-SUM(E$99:E130))</f>
        <v>223859.5</v>
      </c>
      <c r="E131" s="484">
        <f t="shared" si="19"/>
        <v>29887</v>
      </c>
      <c r="F131" s="485">
        <f t="shared" si="20"/>
        <v>193972.5</v>
      </c>
      <c r="G131" s="485">
        <f t="shared" si="21"/>
        <v>208916</v>
      </c>
      <c r="H131" s="486">
        <f t="shared" si="22"/>
        <v>52905.919108169248</v>
      </c>
      <c r="I131" s="542">
        <f t="shared" si="23"/>
        <v>52905.919108169248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8"/>
        <v/>
      </c>
      <c r="C132" s="472">
        <f>IF(D93="","-",+C131+1)</f>
        <v>2051</v>
      </c>
      <c r="D132" s="347">
        <f>IF(F131+SUM(E$99:E131)=D$92,F131,D$92-SUM(E$99:E131))</f>
        <v>193972.5</v>
      </c>
      <c r="E132" s="484">
        <f t="shared" si="19"/>
        <v>29887</v>
      </c>
      <c r="F132" s="485">
        <f t="shared" si="20"/>
        <v>164085.5</v>
      </c>
      <c r="G132" s="485">
        <f t="shared" si="21"/>
        <v>179029</v>
      </c>
      <c r="H132" s="486">
        <f t="shared" si="22"/>
        <v>49612.890161674703</v>
      </c>
      <c r="I132" s="542">
        <f t="shared" si="23"/>
        <v>49612.890161674703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8"/>
        <v/>
      </c>
      <c r="C133" s="472">
        <f>IF(D93="","-",+C132+1)</f>
        <v>2052</v>
      </c>
      <c r="D133" s="347">
        <f>IF(F132+SUM(E$99:E132)=D$92,F132,D$92-SUM(E$99:E132))</f>
        <v>164085.5</v>
      </c>
      <c r="E133" s="484">
        <f t="shared" si="19"/>
        <v>29887</v>
      </c>
      <c r="F133" s="485">
        <f t="shared" si="20"/>
        <v>134198.5</v>
      </c>
      <c r="G133" s="485">
        <f t="shared" si="21"/>
        <v>149142</v>
      </c>
      <c r="H133" s="486">
        <f t="shared" si="22"/>
        <v>46319.861215180164</v>
      </c>
      <c r="I133" s="542">
        <f t="shared" si="23"/>
        <v>46319.861215180164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8"/>
        <v/>
      </c>
      <c r="C134" s="472">
        <f>IF(D93="","-",+C133+1)</f>
        <v>2053</v>
      </c>
      <c r="D134" s="347">
        <f>IF(F133+SUM(E$99:E133)=D$92,F133,D$92-SUM(E$99:E133))</f>
        <v>134198.5</v>
      </c>
      <c r="E134" s="484">
        <f t="shared" si="19"/>
        <v>29887</v>
      </c>
      <c r="F134" s="485">
        <f t="shared" si="20"/>
        <v>104311.5</v>
      </c>
      <c r="G134" s="485">
        <f t="shared" si="21"/>
        <v>119255</v>
      </c>
      <c r="H134" s="486">
        <f t="shared" si="22"/>
        <v>43026.832268685612</v>
      </c>
      <c r="I134" s="542">
        <f t="shared" si="23"/>
        <v>43026.832268685612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8"/>
        <v/>
      </c>
      <c r="C135" s="472">
        <f>IF(D93="","-",+C134+1)</f>
        <v>2054</v>
      </c>
      <c r="D135" s="347">
        <f>IF(F134+SUM(E$99:E134)=D$92,F134,D$92-SUM(E$99:E134))</f>
        <v>104311.5</v>
      </c>
      <c r="E135" s="484">
        <f t="shared" si="19"/>
        <v>29887</v>
      </c>
      <c r="F135" s="485">
        <f t="shared" si="20"/>
        <v>74424.5</v>
      </c>
      <c r="G135" s="485">
        <f t="shared" si="21"/>
        <v>89368</v>
      </c>
      <c r="H135" s="486">
        <f t="shared" si="22"/>
        <v>39733.803322191074</v>
      </c>
      <c r="I135" s="542">
        <f t="shared" si="23"/>
        <v>39733.803322191074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8"/>
        <v/>
      </c>
      <c r="C136" s="472">
        <f>IF(D93="","-",+C135+1)</f>
        <v>2055</v>
      </c>
      <c r="D136" s="347">
        <f>IF(F135+SUM(E$99:E135)=D$92,F135,D$92-SUM(E$99:E135))</f>
        <v>74424.5</v>
      </c>
      <c r="E136" s="484">
        <f t="shared" si="19"/>
        <v>29887</v>
      </c>
      <c r="F136" s="485">
        <f t="shared" si="20"/>
        <v>44537.5</v>
      </c>
      <c r="G136" s="485">
        <f t="shared" si="21"/>
        <v>59481</v>
      </c>
      <c r="H136" s="486">
        <f t="shared" si="22"/>
        <v>36440.774375696521</v>
      </c>
      <c r="I136" s="542">
        <f t="shared" si="23"/>
        <v>36440.774375696521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8"/>
        <v/>
      </c>
      <c r="C137" s="472">
        <f>IF(D93="","-",+C136+1)</f>
        <v>2056</v>
      </c>
      <c r="D137" s="347">
        <f>IF(F136+SUM(E$99:E136)=D$92,F136,D$92-SUM(E$99:E136))</f>
        <v>44537.5</v>
      </c>
      <c r="E137" s="484">
        <f t="shared" si="19"/>
        <v>29887</v>
      </c>
      <c r="F137" s="485">
        <f t="shared" si="20"/>
        <v>14650.5</v>
      </c>
      <c r="G137" s="485">
        <f t="shared" si="21"/>
        <v>29594</v>
      </c>
      <c r="H137" s="486">
        <f t="shared" si="22"/>
        <v>33147.745429201983</v>
      </c>
      <c r="I137" s="542">
        <f t="shared" si="23"/>
        <v>33147.745429201983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8"/>
        <v/>
      </c>
      <c r="C138" s="472">
        <f>IF(D93="","-",+C137+1)</f>
        <v>2057</v>
      </c>
      <c r="D138" s="347">
        <f>IF(F137+SUM(E$99:E137)=D$92,F137,D$92-SUM(E$99:E137))</f>
        <v>14650.5</v>
      </c>
      <c r="E138" s="484">
        <f t="shared" si="19"/>
        <v>14650.5</v>
      </c>
      <c r="F138" s="485">
        <f t="shared" si="20"/>
        <v>0</v>
      </c>
      <c r="G138" s="485">
        <f t="shared" si="21"/>
        <v>7325.25</v>
      </c>
      <c r="H138" s="486">
        <f t="shared" si="22"/>
        <v>15457.615477977353</v>
      </c>
      <c r="I138" s="542">
        <f t="shared" si="23"/>
        <v>15457.615477977353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8"/>
        <v/>
      </c>
      <c r="C139" s="472">
        <f>IF(D93="","-",+C138+1)</f>
        <v>2058</v>
      </c>
      <c r="D139" s="347">
        <f>IF(F138+SUM(E$99:E138)=D$92,F138,D$92-SUM(E$99:E138))</f>
        <v>0</v>
      </c>
      <c r="E139" s="484">
        <f t="shared" si="19"/>
        <v>0</v>
      </c>
      <c r="F139" s="485">
        <f t="shared" si="20"/>
        <v>0</v>
      </c>
      <c r="G139" s="485">
        <f t="shared" si="21"/>
        <v>0</v>
      </c>
      <c r="H139" s="486">
        <f t="shared" si="22"/>
        <v>0</v>
      </c>
      <c r="I139" s="542">
        <f t="shared" si="23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8"/>
        <v/>
      </c>
      <c r="C140" s="472">
        <f>IF(D93="","-",+C139+1)</f>
        <v>2059</v>
      </c>
      <c r="D140" s="347">
        <f>IF(F139+SUM(E$99:E139)=D$92,F139,D$92-SUM(E$99:E139))</f>
        <v>0</v>
      </c>
      <c r="E140" s="484">
        <f t="shared" si="19"/>
        <v>0</v>
      </c>
      <c r="F140" s="485">
        <f t="shared" si="20"/>
        <v>0</v>
      </c>
      <c r="G140" s="485">
        <f t="shared" si="21"/>
        <v>0</v>
      </c>
      <c r="H140" s="486">
        <f t="shared" si="22"/>
        <v>0</v>
      </c>
      <c r="I140" s="542">
        <f t="shared" si="23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8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486">
        <f t="shared" si="22"/>
        <v>0</v>
      </c>
      <c r="I141" s="542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8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486">
        <f t="shared" si="22"/>
        <v>0</v>
      </c>
      <c r="I142" s="542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8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486">
        <f t="shared" si="22"/>
        <v>0</v>
      </c>
      <c r="I143" s="542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8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486">
        <f t="shared" si="22"/>
        <v>0</v>
      </c>
      <c r="I144" s="542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8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486">
        <f t="shared" si="22"/>
        <v>0</v>
      </c>
      <c r="I145" s="542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8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486">
        <f t="shared" si="22"/>
        <v>0</v>
      </c>
      <c r="I146" s="542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8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486">
        <f t="shared" si="22"/>
        <v>0</v>
      </c>
      <c r="I147" s="542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8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486">
        <f t="shared" si="22"/>
        <v>0</v>
      </c>
      <c r="I148" s="542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8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486">
        <f t="shared" si="22"/>
        <v>0</v>
      </c>
      <c r="I149" s="542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8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486">
        <f t="shared" si="22"/>
        <v>0</v>
      </c>
      <c r="I150" s="542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8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486">
        <f t="shared" si="22"/>
        <v>0</v>
      </c>
      <c r="I151" s="542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8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486">
        <f t="shared" si="22"/>
        <v>0</v>
      </c>
      <c r="I152" s="542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8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486">
        <f t="shared" si="22"/>
        <v>0</v>
      </c>
      <c r="I153" s="542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1165593</v>
      </c>
      <c r="F155" s="348"/>
      <c r="G155" s="348"/>
      <c r="H155" s="348">
        <f>SUM(H99:H154)</f>
        <v>3697270.9055597312</v>
      </c>
      <c r="I155" s="348">
        <f>SUM(I99:I154)</f>
        <v>3697270.9055597312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2"/>
  <sheetViews>
    <sheetView zoomScale="80" zoomScaleNormal="80" workbookViewId="0">
      <selection activeCell="F28" sqref="F28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24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163793.91335875148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163793.91335875148</v>
      </c>
      <c r="O6" s="233"/>
      <c r="P6" s="233"/>
    </row>
    <row r="7" spans="1:16" ht="13.5" thickBot="1">
      <c r="C7" s="431" t="s">
        <v>46</v>
      </c>
      <c r="D7" s="599" t="s">
        <v>304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305</v>
      </c>
      <c r="E9" s="577" t="s">
        <v>306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1345383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32032.928571428572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13511.111111111109</v>
      </c>
      <c r="F17" s="584">
        <v>1202488.888888889</v>
      </c>
      <c r="G17" s="608">
        <v>85515.508884209848</v>
      </c>
      <c r="H17" s="587">
        <v>85515.508884209848</v>
      </c>
      <c r="I17" s="475">
        <f>H17-G17</f>
        <v>0</v>
      </c>
      <c r="J17" s="475"/>
      <c r="K17" s="554">
        <f>+G17</f>
        <v>85515.508884209848</v>
      </c>
      <c r="L17" s="477">
        <f t="shared" ref="L17:L72" si="0">IF(K17&lt;&gt;0,+G17-K17,0)</f>
        <v>0</v>
      </c>
      <c r="M17" s="554">
        <f>+H17</f>
        <v>85515.508884209848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1202488.888888889</v>
      </c>
      <c r="E18" s="585">
        <v>30400</v>
      </c>
      <c r="F18" s="584">
        <v>1172088.888888889</v>
      </c>
      <c r="G18" s="585">
        <v>162968.67771034624</v>
      </c>
      <c r="H18" s="587">
        <v>162968.67771034624</v>
      </c>
      <c r="I18" s="475">
        <f>H18-G18</f>
        <v>0</v>
      </c>
      <c r="J18" s="475"/>
      <c r="K18" s="478">
        <f>+G18</f>
        <v>162968.67771034624</v>
      </c>
      <c r="L18" s="478">
        <f t="shared" si="0"/>
        <v>0</v>
      </c>
      <c r="M18" s="478">
        <f>+H18</f>
        <v>162968.67771034624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1304405.6666666667</v>
      </c>
      <c r="E19" s="585">
        <v>32022.357142857141</v>
      </c>
      <c r="F19" s="584">
        <v>1272383.3095238097</v>
      </c>
      <c r="G19" s="585">
        <v>171175.11640159666</v>
      </c>
      <c r="H19" s="587">
        <v>171175.11640159666</v>
      </c>
      <c r="I19" s="475">
        <f t="shared" ref="I19:I71" si="3">H19-G19</f>
        <v>0</v>
      </c>
      <c r="J19" s="475"/>
      <c r="K19" s="478">
        <f>+G19</f>
        <v>171175.11640159666</v>
      </c>
      <c r="L19" s="478">
        <f t="shared" ref="L19" si="4">IF(K19&lt;&gt;0,+G19-K19,0)</f>
        <v>0</v>
      </c>
      <c r="M19" s="478">
        <f>+H19</f>
        <v>171175.11640159666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1269449.5317460317</v>
      </c>
      <c r="E20" s="585">
        <v>31287.976744186046</v>
      </c>
      <c r="F20" s="584">
        <v>1238161.5550018456</v>
      </c>
      <c r="G20" s="585">
        <v>166475.36158990141</v>
      </c>
      <c r="H20" s="587">
        <v>166475.36158990141</v>
      </c>
      <c r="I20" s="475">
        <f t="shared" si="3"/>
        <v>0</v>
      </c>
      <c r="J20" s="475"/>
      <c r="K20" s="478">
        <f>+G20</f>
        <v>166475.36158990141</v>
      </c>
      <c r="L20" s="478">
        <f t="shared" ref="L20" si="6">IF(K20&lt;&gt;0,+G20-K20,0)</f>
        <v>0</v>
      </c>
      <c r="M20" s="478">
        <f>+H20</f>
        <v>166475.36158990141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2022</v>
      </c>
      <c r="D21" s="584">
        <v>1238161.5550018456</v>
      </c>
      <c r="E21" s="585">
        <v>32032.928571428572</v>
      </c>
      <c r="F21" s="584">
        <v>1206128.6264304169</v>
      </c>
      <c r="G21" s="585">
        <v>163793.91335875148</v>
      </c>
      <c r="H21" s="587">
        <v>163793.91335875148</v>
      </c>
      <c r="I21" s="475">
        <f t="shared" si="3"/>
        <v>0</v>
      </c>
      <c r="J21" s="475"/>
      <c r="K21" s="478">
        <f>+G21</f>
        <v>163793.91335875148</v>
      </c>
      <c r="L21" s="478">
        <f t="shared" ref="L21" si="7">IF(K21&lt;&gt;0,+G21-K21,0)</f>
        <v>0</v>
      </c>
      <c r="M21" s="478">
        <f>+H21</f>
        <v>163793.91335875148</v>
      </c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1206128.6264304169</v>
      </c>
      <c r="E22" s="484">
        <f t="shared" ref="E22:E71" si="8">IF(+I$14&lt;F21,I$14,D22)</f>
        <v>32032.928571428572</v>
      </c>
      <c r="F22" s="485">
        <f t="shared" ref="F22:F71" si="9">+D22-E22</f>
        <v>1174095.6978589883</v>
      </c>
      <c r="G22" s="486">
        <f t="shared" ref="G22:G71" si="10">(D22+F22)/2*I$12+E22</f>
        <v>160340.40342261104</v>
      </c>
      <c r="H22" s="455">
        <f t="shared" ref="H22:H71" si="11">+(D22+F22)/2*I$13+E22</f>
        <v>160340.40342261104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1174095.6978589883</v>
      </c>
      <c r="E23" s="484">
        <f t="shared" si="8"/>
        <v>32032.928571428572</v>
      </c>
      <c r="F23" s="485">
        <f t="shared" si="9"/>
        <v>1142062.7692875597</v>
      </c>
      <c r="G23" s="486">
        <f t="shared" si="10"/>
        <v>156886.89348647062</v>
      </c>
      <c r="H23" s="455">
        <f t="shared" si="11"/>
        <v>156886.89348647062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1142062.7692875597</v>
      </c>
      <c r="E24" s="484">
        <f t="shared" si="8"/>
        <v>32032.928571428572</v>
      </c>
      <c r="F24" s="485">
        <f t="shared" si="9"/>
        <v>1110029.840716131</v>
      </c>
      <c r="G24" s="486">
        <f t="shared" si="10"/>
        <v>153433.38355033018</v>
      </c>
      <c r="H24" s="455">
        <f t="shared" si="11"/>
        <v>153433.38355033018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1110029.840716131</v>
      </c>
      <c r="E25" s="484">
        <f t="shared" si="8"/>
        <v>32032.928571428572</v>
      </c>
      <c r="F25" s="485">
        <f t="shared" si="9"/>
        <v>1077996.9121447024</v>
      </c>
      <c r="G25" s="486">
        <f t="shared" si="10"/>
        <v>149979.87361418974</v>
      </c>
      <c r="H25" s="455">
        <f t="shared" si="11"/>
        <v>149979.87361418974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1077996.9121447024</v>
      </c>
      <c r="E26" s="484">
        <f t="shared" si="8"/>
        <v>32032.928571428572</v>
      </c>
      <c r="F26" s="485">
        <f t="shared" si="9"/>
        <v>1045963.9835732739</v>
      </c>
      <c r="G26" s="486">
        <f t="shared" si="10"/>
        <v>146526.36367804933</v>
      </c>
      <c r="H26" s="455">
        <f t="shared" si="11"/>
        <v>146526.36367804933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1045963.9835732739</v>
      </c>
      <c r="E27" s="484">
        <f t="shared" si="8"/>
        <v>32032.928571428572</v>
      </c>
      <c r="F27" s="485">
        <f t="shared" si="9"/>
        <v>1013931.0550018454</v>
      </c>
      <c r="G27" s="486">
        <f t="shared" si="10"/>
        <v>143072.85374190891</v>
      </c>
      <c r="H27" s="455">
        <f t="shared" si="11"/>
        <v>143072.85374190891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1013931.0550018454</v>
      </c>
      <c r="E28" s="484">
        <f t="shared" si="8"/>
        <v>32032.928571428572</v>
      </c>
      <c r="F28" s="485">
        <f t="shared" si="9"/>
        <v>981898.12643041683</v>
      </c>
      <c r="G28" s="486">
        <f t="shared" si="10"/>
        <v>139619.34380576847</v>
      </c>
      <c r="H28" s="455">
        <f t="shared" si="11"/>
        <v>139619.34380576847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981898.12643041683</v>
      </c>
      <c r="E29" s="484">
        <f t="shared" si="8"/>
        <v>32032.928571428572</v>
      </c>
      <c r="F29" s="485">
        <f t="shared" si="9"/>
        <v>949865.19785898831</v>
      </c>
      <c r="G29" s="486">
        <f t="shared" si="10"/>
        <v>136165.83386962806</v>
      </c>
      <c r="H29" s="455">
        <f t="shared" si="11"/>
        <v>136165.83386962806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949865.19785898831</v>
      </c>
      <c r="E30" s="484">
        <f t="shared" si="8"/>
        <v>32032.928571428572</v>
      </c>
      <c r="F30" s="485">
        <f t="shared" si="9"/>
        <v>917832.26928755979</v>
      </c>
      <c r="G30" s="486">
        <f t="shared" si="10"/>
        <v>132712.32393348764</v>
      </c>
      <c r="H30" s="455">
        <f t="shared" si="11"/>
        <v>132712.32393348764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917832.26928755979</v>
      </c>
      <c r="E31" s="484">
        <f t="shared" si="8"/>
        <v>32032.928571428572</v>
      </c>
      <c r="F31" s="485">
        <f t="shared" si="9"/>
        <v>885799.34071613126</v>
      </c>
      <c r="G31" s="486">
        <f t="shared" si="10"/>
        <v>129258.81399734723</v>
      </c>
      <c r="H31" s="455">
        <f t="shared" si="11"/>
        <v>129258.81399734723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885799.34071613126</v>
      </c>
      <c r="E32" s="484">
        <f t="shared" si="8"/>
        <v>32032.928571428572</v>
      </c>
      <c r="F32" s="485">
        <f t="shared" si="9"/>
        <v>853766.41214470274</v>
      </c>
      <c r="G32" s="486">
        <f t="shared" si="10"/>
        <v>125805.30406120679</v>
      </c>
      <c r="H32" s="455">
        <f t="shared" si="11"/>
        <v>125805.30406120679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853766.41214470274</v>
      </c>
      <c r="E33" s="484">
        <f t="shared" si="8"/>
        <v>32032.928571428572</v>
      </c>
      <c r="F33" s="485">
        <f t="shared" si="9"/>
        <v>821733.48357327422</v>
      </c>
      <c r="G33" s="486">
        <f t="shared" si="10"/>
        <v>122351.79412506637</v>
      </c>
      <c r="H33" s="455">
        <f t="shared" si="11"/>
        <v>122351.79412506637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821733.48357327422</v>
      </c>
      <c r="E34" s="484">
        <f t="shared" si="8"/>
        <v>32032.928571428572</v>
      </c>
      <c r="F34" s="485">
        <f t="shared" si="9"/>
        <v>789700.5550018457</v>
      </c>
      <c r="G34" s="486">
        <f t="shared" si="10"/>
        <v>118898.28418892596</v>
      </c>
      <c r="H34" s="455">
        <f t="shared" si="11"/>
        <v>118898.28418892596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789700.5550018457</v>
      </c>
      <c r="E35" s="484">
        <f t="shared" si="8"/>
        <v>32032.928571428572</v>
      </c>
      <c r="F35" s="485">
        <f t="shared" si="9"/>
        <v>757667.62643041718</v>
      </c>
      <c r="G35" s="486">
        <f t="shared" si="10"/>
        <v>115444.77425278554</v>
      </c>
      <c r="H35" s="455">
        <f t="shared" si="11"/>
        <v>115444.77425278554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757667.62643041718</v>
      </c>
      <c r="E36" s="484">
        <f t="shared" si="8"/>
        <v>32032.928571428572</v>
      </c>
      <c r="F36" s="485">
        <f t="shared" si="9"/>
        <v>725634.69785898866</v>
      </c>
      <c r="G36" s="486">
        <f t="shared" si="10"/>
        <v>111991.2643166451</v>
      </c>
      <c r="H36" s="455">
        <f t="shared" si="11"/>
        <v>111991.2643166451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725634.69785898866</v>
      </c>
      <c r="E37" s="484">
        <f t="shared" si="8"/>
        <v>32032.928571428572</v>
      </c>
      <c r="F37" s="485">
        <f t="shared" si="9"/>
        <v>693601.76928756014</v>
      </c>
      <c r="G37" s="486">
        <f t="shared" si="10"/>
        <v>108537.75438050469</v>
      </c>
      <c r="H37" s="455">
        <f t="shared" si="11"/>
        <v>108537.75438050469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693601.76928756014</v>
      </c>
      <c r="E38" s="484">
        <f t="shared" si="8"/>
        <v>32032.928571428572</v>
      </c>
      <c r="F38" s="485">
        <f t="shared" si="9"/>
        <v>661568.84071613161</v>
      </c>
      <c r="G38" s="486">
        <f t="shared" si="10"/>
        <v>105084.24444436427</v>
      </c>
      <c r="H38" s="455">
        <f t="shared" si="11"/>
        <v>105084.24444436427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661568.84071613161</v>
      </c>
      <c r="E39" s="484">
        <f t="shared" si="8"/>
        <v>32032.928571428572</v>
      </c>
      <c r="F39" s="485">
        <f t="shared" si="9"/>
        <v>629535.91214470309</v>
      </c>
      <c r="G39" s="486">
        <f t="shared" si="10"/>
        <v>101630.73450822386</v>
      </c>
      <c r="H39" s="455">
        <f t="shared" si="11"/>
        <v>101630.73450822386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629535.91214470309</v>
      </c>
      <c r="E40" s="484">
        <f t="shared" si="8"/>
        <v>32032.928571428572</v>
      </c>
      <c r="F40" s="485">
        <f t="shared" si="9"/>
        <v>597502.98357327457</v>
      </c>
      <c r="G40" s="486">
        <f t="shared" si="10"/>
        <v>98177.224572083418</v>
      </c>
      <c r="H40" s="455">
        <f t="shared" si="11"/>
        <v>98177.224572083418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597502.98357327457</v>
      </c>
      <c r="E41" s="484">
        <f t="shared" si="8"/>
        <v>32032.928571428572</v>
      </c>
      <c r="F41" s="485">
        <f t="shared" si="9"/>
        <v>565470.05500184605</v>
      </c>
      <c r="G41" s="486">
        <f t="shared" si="10"/>
        <v>94723.714635943019</v>
      </c>
      <c r="H41" s="455">
        <f t="shared" si="11"/>
        <v>94723.714635943019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565470.05500184605</v>
      </c>
      <c r="E42" s="484">
        <f t="shared" si="8"/>
        <v>32032.928571428572</v>
      </c>
      <c r="F42" s="485">
        <f t="shared" si="9"/>
        <v>533437.12643041753</v>
      </c>
      <c r="G42" s="486">
        <f t="shared" si="10"/>
        <v>91270.204699802591</v>
      </c>
      <c r="H42" s="455">
        <f t="shared" si="11"/>
        <v>91270.204699802591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533437.12643041753</v>
      </c>
      <c r="E43" s="484">
        <f t="shared" si="8"/>
        <v>32032.928571428572</v>
      </c>
      <c r="F43" s="485">
        <f t="shared" si="9"/>
        <v>501404.19785898895</v>
      </c>
      <c r="G43" s="486">
        <f t="shared" si="10"/>
        <v>87816.694763662177</v>
      </c>
      <c r="H43" s="455">
        <f t="shared" si="11"/>
        <v>87816.694763662177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501404.19785898895</v>
      </c>
      <c r="E44" s="484">
        <f t="shared" si="8"/>
        <v>32032.928571428572</v>
      </c>
      <c r="F44" s="485">
        <f t="shared" si="9"/>
        <v>469371.26928756037</v>
      </c>
      <c r="G44" s="486">
        <f t="shared" si="10"/>
        <v>84363.184827521749</v>
      </c>
      <c r="H44" s="455">
        <f t="shared" si="11"/>
        <v>84363.184827521749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469371.26928756037</v>
      </c>
      <c r="E45" s="484">
        <f t="shared" si="8"/>
        <v>32032.928571428572</v>
      </c>
      <c r="F45" s="485">
        <f t="shared" si="9"/>
        <v>437338.34071613179</v>
      </c>
      <c r="G45" s="486">
        <f t="shared" si="10"/>
        <v>80909.674891381321</v>
      </c>
      <c r="H45" s="455">
        <f t="shared" si="11"/>
        <v>80909.674891381321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437338.34071613179</v>
      </c>
      <c r="E46" s="484">
        <f t="shared" si="8"/>
        <v>32032.928571428572</v>
      </c>
      <c r="F46" s="485">
        <f t="shared" si="9"/>
        <v>405305.41214470321</v>
      </c>
      <c r="G46" s="486">
        <f t="shared" si="10"/>
        <v>77456.164955240893</v>
      </c>
      <c r="H46" s="455">
        <f t="shared" si="11"/>
        <v>77456.164955240893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405305.41214470321</v>
      </c>
      <c r="E47" s="484">
        <f t="shared" si="8"/>
        <v>32032.928571428572</v>
      </c>
      <c r="F47" s="485">
        <f t="shared" si="9"/>
        <v>373272.48357327463</v>
      </c>
      <c r="G47" s="486">
        <f t="shared" si="10"/>
        <v>74002.655019100464</v>
      </c>
      <c r="H47" s="455">
        <f t="shared" si="11"/>
        <v>74002.655019100464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373272.48357327463</v>
      </c>
      <c r="E48" s="484">
        <f t="shared" si="8"/>
        <v>32032.928571428572</v>
      </c>
      <c r="F48" s="485">
        <f t="shared" si="9"/>
        <v>341239.55500184605</v>
      </c>
      <c r="G48" s="486">
        <f t="shared" si="10"/>
        <v>70549.145082960051</v>
      </c>
      <c r="H48" s="455">
        <f t="shared" si="11"/>
        <v>70549.145082960051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341239.55500184605</v>
      </c>
      <c r="E49" s="484">
        <f t="shared" si="8"/>
        <v>32032.928571428572</v>
      </c>
      <c r="F49" s="485">
        <f t="shared" si="9"/>
        <v>309206.62643041747</v>
      </c>
      <c r="G49" s="486">
        <f t="shared" si="10"/>
        <v>67095.635146819608</v>
      </c>
      <c r="H49" s="455">
        <f t="shared" si="11"/>
        <v>67095.635146819608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309206.62643041747</v>
      </c>
      <c r="E50" s="484">
        <f t="shared" si="8"/>
        <v>32032.928571428572</v>
      </c>
      <c r="F50" s="485">
        <f t="shared" si="9"/>
        <v>277173.69785898889</v>
      </c>
      <c r="G50" s="486">
        <f t="shared" si="10"/>
        <v>63642.125210679187</v>
      </c>
      <c r="H50" s="455">
        <f t="shared" si="11"/>
        <v>63642.125210679187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277173.69785898889</v>
      </c>
      <c r="E51" s="484">
        <f t="shared" si="8"/>
        <v>32032.928571428572</v>
      </c>
      <c r="F51" s="485">
        <f t="shared" si="9"/>
        <v>245140.76928756031</v>
      </c>
      <c r="G51" s="486">
        <f t="shared" si="10"/>
        <v>60188.615274538759</v>
      </c>
      <c r="H51" s="455">
        <f t="shared" si="11"/>
        <v>60188.615274538759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245140.76928756031</v>
      </c>
      <c r="E52" s="484">
        <f t="shared" si="8"/>
        <v>32032.928571428572</v>
      </c>
      <c r="F52" s="485">
        <f t="shared" si="9"/>
        <v>213107.84071613173</v>
      </c>
      <c r="G52" s="486">
        <f t="shared" si="10"/>
        <v>56735.105338398331</v>
      </c>
      <c r="H52" s="455">
        <f t="shared" si="11"/>
        <v>56735.105338398331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213107.84071613173</v>
      </c>
      <c r="E53" s="484">
        <f t="shared" si="8"/>
        <v>32032.928571428572</v>
      </c>
      <c r="F53" s="485">
        <f t="shared" si="9"/>
        <v>181074.91214470315</v>
      </c>
      <c r="G53" s="486">
        <f t="shared" si="10"/>
        <v>53281.59540225791</v>
      </c>
      <c r="H53" s="455">
        <f t="shared" si="11"/>
        <v>53281.59540225791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181074.91214470315</v>
      </c>
      <c r="E54" s="484">
        <f t="shared" si="8"/>
        <v>32032.928571428572</v>
      </c>
      <c r="F54" s="485">
        <f t="shared" si="9"/>
        <v>149041.98357327457</v>
      </c>
      <c r="G54" s="486">
        <f t="shared" si="10"/>
        <v>49828.085466117482</v>
      </c>
      <c r="H54" s="455">
        <f t="shared" si="11"/>
        <v>49828.085466117482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149041.98357327457</v>
      </c>
      <c r="E55" s="484">
        <f t="shared" si="8"/>
        <v>32032.928571428572</v>
      </c>
      <c r="F55" s="485">
        <f t="shared" si="9"/>
        <v>117009.05500184599</v>
      </c>
      <c r="G55" s="486">
        <f t="shared" si="10"/>
        <v>46374.575529977054</v>
      </c>
      <c r="H55" s="455">
        <f t="shared" si="11"/>
        <v>46374.575529977054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117009.05500184599</v>
      </c>
      <c r="E56" s="484">
        <f t="shared" si="8"/>
        <v>32032.928571428572</v>
      </c>
      <c r="F56" s="485">
        <f t="shared" si="9"/>
        <v>84976.126430417411</v>
      </c>
      <c r="G56" s="486">
        <f t="shared" si="10"/>
        <v>42921.065593836625</v>
      </c>
      <c r="H56" s="455">
        <f t="shared" si="11"/>
        <v>42921.065593836625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84976.126430417411</v>
      </c>
      <c r="E57" s="484">
        <f t="shared" si="8"/>
        <v>32032.928571428572</v>
      </c>
      <c r="F57" s="485">
        <f t="shared" si="9"/>
        <v>52943.197858988839</v>
      </c>
      <c r="G57" s="486">
        <f t="shared" si="10"/>
        <v>39467.555657696197</v>
      </c>
      <c r="H57" s="455">
        <f t="shared" si="11"/>
        <v>39467.555657696197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52943.197858988839</v>
      </c>
      <c r="E58" s="484">
        <f t="shared" si="8"/>
        <v>32032.928571428572</v>
      </c>
      <c r="F58" s="485">
        <f t="shared" si="9"/>
        <v>20910.269287560266</v>
      </c>
      <c r="G58" s="486">
        <f t="shared" si="10"/>
        <v>36014.045721555776</v>
      </c>
      <c r="H58" s="455">
        <f t="shared" si="11"/>
        <v>36014.045721555776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20910.269287560266</v>
      </c>
      <c r="E59" s="484">
        <f t="shared" si="8"/>
        <v>20910.269287560266</v>
      </c>
      <c r="F59" s="485">
        <f t="shared" si="9"/>
        <v>0</v>
      </c>
      <c r="G59" s="486">
        <f t="shared" si="10"/>
        <v>22037.450378588761</v>
      </c>
      <c r="H59" s="455">
        <f t="shared" si="11"/>
        <v>22037.450378588761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1345383.0000000002</v>
      </c>
      <c r="F73" s="348"/>
      <c r="G73" s="348">
        <f>SUM(G17:G72)</f>
        <v>4404523.3374904804</v>
      </c>
      <c r="H73" s="348">
        <f>SUM(H17:H72)</f>
        <v>4404523.3374904804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24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163793.91335875148</v>
      </c>
      <c r="N87" s="508">
        <f>IF(J92&lt;D11,0,VLOOKUP(J92,C17:O72,11))</f>
        <v>163793.91335875148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168471.22783710953</v>
      </c>
      <c r="N88" s="512">
        <f>IF(J92&lt;D11,0,VLOOKUP(J92,C99:P154,7))</f>
        <v>168471.22783710953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Duncan-Comanche Tap 69 KV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4677.3144783580501</v>
      </c>
      <c r="N89" s="517">
        <f>+N88-N87</f>
        <v>4677.3144783580501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TP2015191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1345383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34497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15290</v>
      </c>
      <c r="F99" s="584">
        <v>1299649</v>
      </c>
      <c r="G99" s="608">
        <v>649824.5</v>
      </c>
      <c r="H99" s="587">
        <v>82050.088345518569</v>
      </c>
      <c r="I99" s="607">
        <v>82050.088345518569</v>
      </c>
      <c r="J99" s="478">
        <f>+I99-H99</f>
        <v>0</v>
      </c>
      <c r="K99" s="478"/>
      <c r="L99" s="477">
        <f>+H99</f>
        <v>82050.088345518569</v>
      </c>
      <c r="M99" s="477">
        <f t="shared" ref="M99" si="12">IF(L99&lt;&gt;0,+H99-L99,0)</f>
        <v>0</v>
      </c>
      <c r="N99" s="477">
        <f>+I99</f>
        <v>82050.088345518569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1330093</v>
      </c>
      <c r="E100" s="585">
        <v>32814</v>
      </c>
      <c r="F100" s="586">
        <v>1297279</v>
      </c>
      <c r="G100" s="586">
        <v>1313686</v>
      </c>
      <c r="H100" s="606">
        <v>168273.45246575892</v>
      </c>
      <c r="I100" s="607">
        <v>168273.45246575892</v>
      </c>
      <c r="J100" s="478">
        <f t="shared" ref="J100:J130" si="15">+I100-H100</f>
        <v>0</v>
      </c>
      <c r="K100" s="478"/>
      <c r="L100" s="476">
        <f>H100</f>
        <v>168273.45246575892</v>
      </c>
      <c r="M100" s="349">
        <f>IF(L100&lt;&gt;0,+H100-L100,0)</f>
        <v>0</v>
      </c>
      <c r="N100" s="476">
        <f>I100</f>
        <v>168273.45246575892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>
      <c r="B101" s="160" t="str">
        <f t="shared" ref="B101:B154" si="18">IF(D101=F100,"","IU")</f>
        <v/>
      </c>
      <c r="C101" s="472">
        <f>IF(D93="","-",+C100+1)</f>
        <v>2020</v>
      </c>
      <c r="D101" s="584">
        <v>1297279</v>
      </c>
      <c r="E101" s="585">
        <v>31288</v>
      </c>
      <c r="F101" s="586">
        <v>1265991</v>
      </c>
      <c r="G101" s="586">
        <v>1281635</v>
      </c>
      <c r="H101" s="606">
        <v>179056.99193510308</v>
      </c>
      <c r="I101" s="607">
        <v>179056.99193510308</v>
      </c>
      <c r="J101" s="478">
        <f t="shared" si="15"/>
        <v>0</v>
      </c>
      <c r="K101" s="478"/>
      <c r="L101" s="476">
        <f>H101</f>
        <v>179056.99193510308</v>
      </c>
      <c r="M101" s="349">
        <f>IF(L101&lt;&gt;0,+H101-L101,0)</f>
        <v>0</v>
      </c>
      <c r="N101" s="476">
        <f>I101</f>
        <v>179056.99193510308</v>
      </c>
      <c r="O101" s="478">
        <f t="shared" si="16"/>
        <v>0</v>
      </c>
      <c r="P101" s="478">
        <f t="shared" si="17"/>
        <v>0</v>
      </c>
    </row>
    <row r="102" spans="1:16">
      <c r="B102" s="160" t="str">
        <f t="shared" si="18"/>
        <v/>
      </c>
      <c r="C102" s="472">
        <f>IF(D93="","-",+C101+1)</f>
        <v>2021</v>
      </c>
      <c r="D102" s="584">
        <v>1265991</v>
      </c>
      <c r="E102" s="585">
        <v>32814</v>
      </c>
      <c r="F102" s="586">
        <v>1233177</v>
      </c>
      <c r="G102" s="586">
        <v>1249584</v>
      </c>
      <c r="H102" s="606">
        <v>175007.65348742867</v>
      </c>
      <c r="I102" s="607">
        <v>175007.65348742867</v>
      </c>
      <c r="J102" s="478">
        <f t="shared" si="15"/>
        <v>0</v>
      </c>
      <c r="K102" s="478"/>
      <c r="L102" s="476">
        <f>H102</f>
        <v>175007.65348742867</v>
      </c>
      <c r="M102" s="349">
        <f>IF(L102&lt;&gt;0,+H102-L102,0)</f>
        <v>0</v>
      </c>
      <c r="N102" s="476">
        <f>I102</f>
        <v>175007.65348742867</v>
      </c>
      <c r="O102" s="478">
        <f t="shared" si="16"/>
        <v>0</v>
      </c>
      <c r="P102" s="478">
        <f t="shared" si="17"/>
        <v>0</v>
      </c>
    </row>
    <row r="103" spans="1:16">
      <c r="B103" s="160" t="str">
        <f t="shared" si="18"/>
        <v/>
      </c>
      <c r="C103" s="472">
        <f>IF(D93="","-",+C102+1)</f>
        <v>2022</v>
      </c>
      <c r="D103" s="347">
        <f>IF(F102+SUM(E$99:E102)=D$92,F102,D$92-SUM(E$99:E102))</f>
        <v>1233177</v>
      </c>
      <c r="E103" s="484">
        <f t="shared" ref="E103:E154" si="19">IF(+J$96&lt;F102,J$96,D103)</f>
        <v>34497</v>
      </c>
      <c r="F103" s="485">
        <f t="shared" ref="F103:F154" si="20">+D103-E103</f>
        <v>1198680</v>
      </c>
      <c r="G103" s="485">
        <f t="shared" ref="G103:G154" si="21">+(F103+D103)/2</f>
        <v>1215928.5</v>
      </c>
      <c r="H103" s="486">
        <f t="shared" ref="H103:H153" si="22">(D103+F103)/2*J$94+E103</f>
        <v>168471.22783710953</v>
      </c>
      <c r="I103" s="542">
        <f t="shared" ref="I103:I153" si="23">+J$95*G103+E103</f>
        <v>168471.22783710953</v>
      </c>
      <c r="J103" s="478">
        <f t="shared" si="15"/>
        <v>0</v>
      </c>
      <c r="K103" s="478"/>
      <c r="L103" s="487"/>
      <c r="M103" s="478">
        <f t="shared" ref="M103:M130" si="24">IF(L103&lt;&gt;0,+H103-L103,0)</f>
        <v>0</v>
      </c>
      <c r="N103" s="487"/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2023</v>
      </c>
      <c r="D104" s="347">
        <f>IF(F103+SUM(E$99:E103)=D$92,F103,D$92-SUM(E$99:E103))</f>
        <v>1198680</v>
      </c>
      <c r="E104" s="484">
        <f t="shared" si="19"/>
        <v>34497</v>
      </c>
      <c r="F104" s="485">
        <f t="shared" si="20"/>
        <v>1164183</v>
      </c>
      <c r="G104" s="485">
        <f t="shared" si="21"/>
        <v>1181431.5</v>
      </c>
      <c r="H104" s="486">
        <f t="shared" si="22"/>
        <v>164670.25686085824</v>
      </c>
      <c r="I104" s="542">
        <f t="shared" si="23"/>
        <v>164670.25686085824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2024</v>
      </c>
      <c r="D105" s="347">
        <f>IF(F104+SUM(E$99:E104)=D$92,F104,D$92-SUM(E$99:E104))</f>
        <v>1164183</v>
      </c>
      <c r="E105" s="484">
        <f t="shared" si="19"/>
        <v>34497</v>
      </c>
      <c r="F105" s="485">
        <f t="shared" si="20"/>
        <v>1129686</v>
      </c>
      <c r="G105" s="485">
        <f t="shared" si="21"/>
        <v>1146934.5</v>
      </c>
      <c r="H105" s="486">
        <f t="shared" si="22"/>
        <v>160869.28588460694</v>
      </c>
      <c r="I105" s="542">
        <f t="shared" si="23"/>
        <v>160869.28588460694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2025</v>
      </c>
      <c r="D106" s="347">
        <f>IF(F105+SUM(E$99:E105)=D$92,F105,D$92-SUM(E$99:E105))</f>
        <v>1129686</v>
      </c>
      <c r="E106" s="484">
        <f t="shared" si="19"/>
        <v>34497</v>
      </c>
      <c r="F106" s="485">
        <f t="shared" si="20"/>
        <v>1095189</v>
      </c>
      <c r="G106" s="485">
        <f t="shared" si="21"/>
        <v>1112437.5</v>
      </c>
      <c r="H106" s="486">
        <f t="shared" si="22"/>
        <v>157068.31490835565</v>
      </c>
      <c r="I106" s="542">
        <f t="shared" si="23"/>
        <v>157068.31490835565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2026</v>
      </c>
      <c r="D107" s="347">
        <f>IF(F106+SUM(E$99:E106)=D$92,F106,D$92-SUM(E$99:E106))</f>
        <v>1095189</v>
      </c>
      <c r="E107" s="484">
        <f t="shared" si="19"/>
        <v>34497</v>
      </c>
      <c r="F107" s="485">
        <f t="shared" si="20"/>
        <v>1060692</v>
      </c>
      <c r="G107" s="485">
        <f t="shared" si="21"/>
        <v>1077940.5</v>
      </c>
      <c r="H107" s="486">
        <f t="shared" si="22"/>
        <v>153267.34393210436</v>
      </c>
      <c r="I107" s="542">
        <f t="shared" si="23"/>
        <v>153267.34393210436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2027</v>
      </c>
      <c r="D108" s="347">
        <f>IF(F107+SUM(E$99:E107)=D$92,F107,D$92-SUM(E$99:E107))</f>
        <v>1060692</v>
      </c>
      <c r="E108" s="484">
        <f t="shared" si="19"/>
        <v>34497</v>
      </c>
      <c r="F108" s="485">
        <f t="shared" si="20"/>
        <v>1026195</v>
      </c>
      <c r="G108" s="485">
        <f t="shared" si="21"/>
        <v>1043443.5</v>
      </c>
      <c r="H108" s="486">
        <f t="shared" si="22"/>
        <v>149466.37295585306</v>
      </c>
      <c r="I108" s="542">
        <f t="shared" si="23"/>
        <v>149466.37295585306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2028</v>
      </c>
      <c r="D109" s="347">
        <f>IF(F108+SUM(E$99:E108)=D$92,F108,D$92-SUM(E$99:E108))</f>
        <v>1026195</v>
      </c>
      <c r="E109" s="484">
        <f t="shared" si="19"/>
        <v>34497</v>
      </c>
      <c r="F109" s="485">
        <f t="shared" si="20"/>
        <v>991698</v>
      </c>
      <c r="G109" s="485">
        <f t="shared" si="21"/>
        <v>1008946.5</v>
      </c>
      <c r="H109" s="486">
        <f t="shared" si="22"/>
        <v>145665.40197960177</v>
      </c>
      <c r="I109" s="542">
        <f t="shared" si="23"/>
        <v>145665.40197960177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2029</v>
      </c>
      <c r="D110" s="347">
        <f>IF(F109+SUM(E$99:E109)=D$92,F109,D$92-SUM(E$99:E109))</f>
        <v>991698</v>
      </c>
      <c r="E110" s="484">
        <f t="shared" si="19"/>
        <v>34497</v>
      </c>
      <c r="F110" s="485">
        <f t="shared" si="20"/>
        <v>957201</v>
      </c>
      <c r="G110" s="485">
        <f t="shared" si="21"/>
        <v>974449.5</v>
      </c>
      <c r="H110" s="486">
        <f t="shared" si="22"/>
        <v>141864.43100335047</v>
      </c>
      <c r="I110" s="542">
        <f t="shared" si="23"/>
        <v>141864.43100335047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2030</v>
      </c>
      <c r="D111" s="347">
        <f>IF(F110+SUM(E$99:E110)=D$92,F110,D$92-SUM(E$99:E110))</f>
        <v>957201</v>
      </c>
      <c r="E111" s="484">
        <f t="shared" si="19"/>
        <v>34497</v>
      </c>
      <c r="F111" s="485">
        <f t="shared" si="20"/>
        <v>922704</v>
      </c>
      <c r="G111" s="485">
        <f t="shared" si="21"/>
        <v>939952.5</v>
      </c>
      <c r="H111" s="486">
        <f t="shared" si="22"/>
        <v>138063.46002709918</v>
      </c>
      <c r="I111" s="542">
        <f t="shared" si="23"/>
        <v>138063.46002709918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2031</v>
      </c>
      <c r="D112" s="347">
        <f>IF(F111+SUM(E$99:E111)=D$92,F111,D$92-SUM(E$99:E111))</f>
        <v>922704</v>
      </c>
      <c r="E112" s="484">
        <f t="shared" si="19"/>
        <v>34497</v>
      </c>
      <c r="F112" s="485">
        <f t="shared" si="20"/>
        <v>888207</v>
      </c>
      <c r="G112" s="485">
        <f t="shared" si="21"/>
        <v>905455.5</v>
      </c>
      <c r="H112" s="486">
        <f t="shared" si="22"/>
        <v>134262.48905084791</v>
      </c>
      <c r="I112" s="542">
        <f t="shared" si="23"/>
        <v>134262.48905084791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2032</v>
      </c>
      <c r="D113" s="347">
        <f>IF(F112+SUM(E$99:E112)=D$92,F112,D$92-SUM(E$99:E112))</f>
        <v>888207</v>
      </c>
      <c r="E113" s="484">
        <f t="shared" si="19"/>
        <v>34497</v>
      </c>
      <c r="F113" s="485">
        <f t="shared" si="20"/>
        <v>853710</v>
      </c>
      <c r="G113" s="485">
        <f t="shared" si="21"/>
        <v>870958.5</v>
      </c>
      <c r="H113" s="486">
        <f t="shared" si="22"/>
        <v>130461.51807459662</v>
      </c>
      <c r="I113" s="542">
        <f t="shared" si="23"/>
        <v>130461.51807459662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2033</v>
      </c>
      <c r="D114" s="347">
        <f>IF(F113+SUM(E$99:E113)=D$92,F113,D$92-SUM(E$99:E113))</f>
        <v>853710</v>
      </c>
      <c r="E114" s="484">
        <f t="shared" si="19"/>
        <v>34497</v>
      </c>
      <c r="F114" s="485">
        <f t="shared" si="20"/>
        <v>819213</v>
      </c>
      <c r="G114" s="485">
        <f t="shared" si="21"/>
        <v>836461.5</v>
      </c>
      <c r="H114" s="486">
        <f t="shared" si="22"/>
        <v>126660.54709834533</v>
      </c>
      <c r="I114" s="542">
        <f t="shared" si="23"/>
        <v>126660.54709834533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2034</v>
      </c>
      <c r="D115" s="347">
        <f>IF(F114+SUM(E$99:E114)=D$92,F114,D$92-SUM(E$99:E114))</f>
        <v>819213</v>
      </c>
      <c r="E115" s="484">
        <f t="shared" si="19"/>
        <v>34497</v>
      </c>
      <c r="F115" s="485">
        <f t="shared" si="20"/>
        <v>784716</v>
      </c>
      <c r="G115" s="485">
        <f t="shared" si="21"/>
        <v>801964.5</v>
      </c>
      <c r="H115" s="486">
        <f t="shared" si="22"/>
        <v>122859.57612209403</v>
      </c>
      <c r="I115" s="542">
        <f t="shared" si="23"/>
        <v>122859.57612209403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2035</v>
      </c>
      <c r="D116" s="347">
        <f>IF(F115+SUM(E$99:E115)=D$92,F115,D$92-SUM(E$99:E115))</f>
        <v>784716</v>
      </c>
      <c r="E116" s="484">
        <f t="shared" si="19"/>
        <v>34497</v>
      </c>
      <c r="F116" s="485">
        <f t="shared" si="20"/>
        <v>750219</v>
      </c>
      <c r="G116" s="485">
        <f t="shared" si="21"/>
        <v>767467.5</v>
      </c>
      <c r="H116" s="486">
        <f t="shared" si="22"/>
        <v>119058.60514584275</v>
      </c>
      <c r="I116" s="542">
        <f t="shared" si="23"/>
        <v>119058.60514584275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2036</v>
      </c>
      <c r="D117" s="347">
        <f>IF(F116+SUM(E$99:E116)=D$92,F116,D$92-SUM(E$99:E116))</f>
        <v>750219</v>
      </c>
      <c r="E117" s="484">
        <f t="shared" si="19"/>
        <v>34497</v>
      </c>
      <c r="F117" s="485">
        <f t="shared" si="20"/>
        <v>715722</v>
      </c>
      <c r="G117" s="485">
        <f t="shared" si="21"/>
        <v>732970.5</v>
      </c>
      <c r="H117" s="486">
        <f t="shared" si="22"/>
        <v>115257.63416959146</v>
      </c>
      <c r="I117" s="542">
        <f t="shared" si="23"/>
        <v>115257.63416959146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2037</v>
      </c>
      <c r="D118" s="347">
        <f>IF(F117+SUM(E$99:E117)=D$92,F117,D$92-SUM(E$99:E117))</f>
        <v>715722</v>
      </c>
      <c r="E118" s="484">
        <f t="shared" si="19"/>
        <v>34497</v>
      </c>
      <c r="F118" s="485">
        <f t="shared" si="20"/>
        <v>681225</v>
      </c>
      <c r="G118" s="485">
        <f t="shared" si="21"/>
        <v>698473.5</v>
      </c>
      <c r="H118" s="486">
        <f t="shared" si="22"/>
        <v>111456.66319334017</v>
      </c>
      <c r="I118" s="542">
        <f t="shared" si="23"/>
        <v>111456.66319334017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2038</v>
      </c>
      <c r="D119" s="347">
        <f>IF(F118+SUM(E$99:E118)=D$92,F118,D$92-SUM(E$99:E118))</f>
        <v>681225</v>
      </c>
      <c r="E119" s="484">
        <f t="shared" si="19"/>
        <v>34497</v>
      </c>
      <c r="F119" s="485">
        <f t="shared" si="20"/>
        <v>646728</v>
      </c>
      <c r="G119" s="485">
        <f t="shared" si="21"/>
        <v>663976.5</v>
      </c>
      <c r="H119" s="486">
        <f t="shared" si="22"/>
        <v>107655.69221708887</v>
      </c>
      <c r="I119" s="542">
        <f t="shared" si="23"/>
        <v>107655.69221708887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2039</v>
      </c>
      <c r="D120" s="347">
        <f>IF(F119+SUM(E$99:E119)=D$92,F119,D$92-SUM(E$99:E119))</f>
        <v>646728</v>
      </c>
      <c r="E120" s="484">
        <f t="shared" si="19"/>
        <v>34497</v>
      </c>
      <c r="F120" s="485">
        <f t="shared" si="20"/>
        <v>612231</v>
      </c>
      <c r="G120" s="485">
        <f t="shared" si="21"/>
        <v>629479.5</v>
      </c>
      <c r="H120" s="486">
        <f t="shared" si="22"/>
        <v>103854.72124083759</v>
      </c>
      <c r="I120" s="542">
        <f t="shared" si="23"/>
        <v>103854.72124083759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2040</v>
      </c>
      <c r="D121" s="347">
        <f>IF(F120+SUM(E$99:E120)=D$92,F120,D$92-SUM(E$99:E120))</f>
        <v>612231</v>
      </c>
      <c r="E121" s="484">
        <f t="shared" si="19"/>
        <v>34497</v>
      </c>
      <c r="F121" s="485">
        <f t="shared" si="20"/>
        <v>577734</v>
      </c>
      <c r="G121" s="485">
        <f t="shared" si="21"/>
        <v>594982.5</v>
      </c>
      <c r="H121" s="486">
        <f t="shared" si="22"/>
        <v>100053.7502645863</v>
      </c>
      <c r="I121" s="542">
        <f t="shared" si="23"/>
        <v>100053.7502645863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2041</v>
      </c>
      <c r="D122" s="347">
        <f>IF(F121+SUM(E$99:E121)=D$92,F121,D$92-SUM(E$99:E121))</f>
        <v>577734</v>
      </c>
      <c r="E122" s="484">
        <f t="shared" si="19"/>
        <v>34497</v>
      </c>
      <c r="F122" s="485">
        <f t="shared" si="20"/>
        <v>543237</v>
      </c>
      <c r="G122" s="485">
        <f t="shared" si="21"/>
        <v>560485.5</v>
      </c>
      <c r="H122" s="486">
        <f t="shared" si="22"/>
        <v>96252.779288335005</v>
      </c>
      <c r="I122" s="542">
        <f t="shared" si="23"/>
        <v>96252.779288335005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2042</v>
      </c>
      <c r="D123" s="347">
        <f>IF(F122+SUM(E$99:E122)=D$92,F122,D$92-SUM(E$99:E122))</f>
        <v>543237</v>
      </c>
      <c r="E123" s="484">
        <f t="shared" si="19"/>
        <v>34497</v>
      </c>
      <c r="F123" s="485">
        <f t="shared" si="20"/>
        <v>508740</v>
      </c>
      <c r="G123" s="485">
        <f t="shared" si="21"/>
        <v>525988.5</v>
      </c>
      <c r="H123" s="486">
        <f t="shared" si="22"/>
        <v>92451.808312083711</v>
      </c>
      <c r="I123" s="542">
        <f t="shared" si="23"/>
        <v>92451.808312083711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2043</v>
      </c>
      <c r="D124" s="347">
        <f>IF(F123+SUM(E$99:E123)=D$92,F123,D$92-SUM(E$99:E123))</f>
        <v>508740</v>
      </c>
      <c r="E124" s="484">
        <f t="shared" si="19"/>
        <v>34497</v>
      </c>
      <c r="F124" s="485">
        <f t="shared" si="20"/>
        <v>474243</v>
      </c>
      <c r="G124" s="485">
        <f t="shared" si="21"/>
        <v>491491.5</v>
      </c>
      <c r="H124" s="486">
        <f t="shared" si="22"/>
        <v>88650.837335832417</v>
      </c>
      <c r="I124" s="542">
        <f t="shared" si="23"/>
        <v>88650.837335832417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2044</v>
      </c>
      <c r="D125" s="347">
        <f>IF(F124+SUM(E$99:E124)=D$92,F124,D$92-SUM(E$99:E124))</f>
        <v>474243</v>
      </c>
      <c r="E125" s="484">
        <f t="shared" si="19"/>
        <v>34497</v>
      </c>
      <c r="F125" s="485">
        <f t="shared" si="20"/>
        <v>439746</v>
      </c>
      <c r="G125" s="485">
        <f t="shared" si="21"/>
        <v>456994.5</v>
      </c>
      <c r="H125" s="486">
        <f t="shared" si="22"/>
        <v>84849.866359581123</v>
      </c>
      <c r="I125" s="542">
        <f t="shared" si="23"/>
        <v>84849.866359581123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2045</v>
      </c>
      <c r="D126" s="347">
        <f>IF(F125+SUM(E$99:E125)=D$92,F125,D$92-SUM(E$99:E125))</f>
        <v>439746</v>
      </c>
      <c r="E126" s="484">
        <f t="shared" si="19"/>
        <v>34497</v>
      </c>
      <c r="F126" s="485">
        <f t="shared" si="20"/>
        <v>405249</v>
      </c>
      <c r="G126" s="485">
        <f t="shared" si="21"/>
        <v>422497.5</v>
      </c>
      <c r="H126" s="486">
        <f t="shared" si="22"/>
        <v>81048.895383329844</v>
      </c>
      <c r="I126" s="542">
        <f t="shared" si="23"/>
        <v>81048.895383329844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2046</v>
      </c>
      <c r="D127" s="347">
        <f>IF(F126+SUM(E$99:E126)=D$92,F126,D$92-SUM(E$99:E126))</f>
        <v>405249</v>
      </c>
      <c r="E127" s="484">
        <f t="shared" si="19"/>
        <v>34497</v>
      </c>
      <c r="F127" s="485">
        <f t="shared" si="20"/>
        <v>370752</v>
      </c>
      <c r="G127" s="485">
        <f t="shared" si="21"/>
        <v>388000.5</v>
      </c>
      <c r="H127" s="486">
        <f t="shared" si="22"/>
        <v>77247.92440707855</v>
      </c>
      <c r="I127" s="542">
        <f t="shared" si="23"/>
        <v>77247.92440707855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2047</v>
      </c>
      <c r="D128" s="347">
        <f>IF(F127+SUM(E$99:E127)=D$92,F127,D$92-SUM(E$99:E127))</f>
        <v>370752</v>
      </c>
      <c r="E128" s="484">
        <f t="shared" si="19"/>
        <v>34497</v>
      </c>
      <c r="F128" s="485">
        <f t="shared" si="20"/>
        <v>336255</v>
      </c>
      <c r="G128" s="485">
        <f t="shared" si="21"/>
        <v>353503.5</v>
      </c>
      <c r="H128" s="486">
        <f t="shared" si="22"/>
        <v>73446.95343082727</v>
      </c>
      <c r="I128" s="542">
        <f t="shared" si="23"/>
        <v>73446.95343082727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2048</v>
      </c>
      <c r="D129" s="347">
        <f>IF(F128+SUM(E$99:E128)=D$92,F128,D$92-SUM(E$99:E128))</f>
        <v>336255</v>
      </c>
      <c r="E129" s="484">
        <f t="shared" si="19"/>
        <v>34497</v>
      </c>
      <c r="F129" s="485">
        <f t="shared" si="20"/>
        <v>301758</v>
      </c>
      <c r="G129" s="485">
        <f t="shared" si="21"/>
        <v>319006.5</v>
      </c>
      <c r="H129" s="486">
        <f t="shared" si="22"/>
        <v>69645.982454575977</v>
      </c>
      <c r="I129" s="542">
        <f t="shared" si="23"/>
        <v>69645.982454575977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2049</v>
      </c>
      <c r="D130" s="347">
        <f>IF(F129+SUM(E$99:E129)=D$92,F129,D$92-SUM(E$99:E129))</f>
        <v>301758</v>
      </c>
      <c r="E130" s="484">
        <f t="shared" si="19"/>
        <v>34497</v>
      </c>
      <c r="F130" s="485">
        <f t="shared" si="20"/>
        <v>267261</v>
      </c>
      <c r="G130" s="485">
        <f t="shared" si="21"/>
        <v>284509.5</v>
      </c>
      <c r="H130" s="486">
        <f t="shared" si="22"/>
        <v>65845.011478324683</v>
      </c>
      <c r="I130" s="542">
        <f t="shared" si="23"/>
        <v>65845.011478324683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2050</v>
      </c>
      <c r="D131" s="347">
        <f>IF(F130+SUM(E$99:E130)=D$92,F130,D$92-SUM(E$99:E130))</f>
        <v>267261</v>
      </c>
      <c r="E131" s="484">
        <f t="shared" si="19"/>
        <v>34497</v>
      </c>
      <c r="F131" s="485">
        <f t="shared" si="20"/>
        <v>232764</v>
      </c>
      <c r="G131" s="485">
        <f t="shared" si="21"/>
        <v>250012.5</v>
      </c>
      <c r="H131" s="486">
        <f t="shared" si="22"/>
        <v>62044.040502073389</v>
      </c>
      <c r="I131" s="542">
        <f t="shared" si="23"/>
        <v>62044.040502073389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8"/>
        <v/>
      </c>
      <c r="C132" s="472">
        <f>IF(D93="","-",+C131+1)</f>
        <v>2051</v>
      </c>
      <c r="D132" s="347">
        <f>IF(F131+SUM(E$99:E131)=D$92,F131,D$92-SUM(E$99:E131))</f>
        <v>232764</v>
      </c>
      <c r="E132" s="484">
        <f t="shared" si="19"/>
        <v>34497</v>
      </c>
      <c r="F132" s="485">
        <f t="shared" si="20"/>
        <v>198267</v>
      </c>
      <c r="G132" s="485">
        <f t="shared" si="21"/>
        <v>215515.5</v>
      </c>
      <c r="H132" s="486">
        <f t="shared" si="22"/>
        <v>58243.069525822102</v>
      </c>
      <c r="I132" s="542">
        <f t="shared" si="23"/>
        <v>58243.069525822102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8"/>
        <v/>
      </c>
      <c r="C133" s="472">
        <f>IF(D93="","-",+C132+1)</f>
        <v>2052</v>
      </c>
      <c r="D133" s="347">
        <f>IF(F132+SUM(E$99:E132)=D$92,F132,D$92-SUM(E$99:E132))</f>
        <v>198267</v>
      </c>
      <c r="E133" s="484">
        <f t="shared" si="19"/>
        <v>34497</v>
      </c>
      <c r="F133" s="485">
        <f t="shared" si="20"/>
        <v>163770</v>
      </c>
      <c r="G133" s="485">
        <f t="shared" si="21"/>
        <v>181018.5</v>
      </c>
      <c r="H133" s="486">
        <f t="shared" si="22"/>
        <v>54442.098549570808</v>
      </c>
      <c r="I133" s="542">
        <f t="shared" si="23"/>
        <v>54442.098549570808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8"/>
        <v/>
      </c>
      <c r="C134" s="472">
        <f>IF(D93="","-",+C133+1)</f>
        <v>2053</v>
      </c>
      <c r="D134" s="347">
        <f>IF(F133+SUM(E$99:E133)=D$92,F133,D$92-SUM(E$99:E133))</f>
        <v>163770</v>
      </c>
      <c r="E134" s="484">
        <f t="shared" si="19"/>
        <v>34497</v>
      </c>
      <c r="F134" s="485">
        <f t="shared" si="20"/>
        <v>129273</v>
      </c>
      <c r="G134" s="485">
        <f t="shared" si="21"/>
        <v>146521.5</v>
      </c>
      <c r="H134" s="486">
        <f t="shared" si="22"/>
        <v>50641.127573319522</v>
      </c>
      <c r="I134" s="542">
        <f t="shared" si="23"/>
        <v>50641.127573319522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8"/>
        <v/>
      </c>
      <c r="C135" s="472">
        <f>IF(D93="","-",+C134+1)</f>
        <v>2054</v>
      </c>
      <c r="D135" s="347">
        <f>IF(F134+SUM(E$99:E134)=D$92,F134,D$92-SUM(E$99:E134))</f>
        <v>129273</v>
      </c>
      <c r="E135" s="484">
        <f t="shared" si="19"/>
        <v>34497</v>
      </c>
      <c r="F135" s="485">
        <f t="shared" si="20"/>
        <v>94776</v>
      </c>
      <c r="G135" s="485">
        <f t="shared" si="21"/>
        <v>112024.5</v>
      </c>
      <c r="H135" s="486">
        <f t="shared" si="22"/>
        <v>46840.156597068228</v>
      </c>
      <c r="I135" s="542">
        <f t="shared" si="23"/>
        <v>46840.156597068228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8"/>
        <v/>
      </c>
      <c r="C136" s="472">
        <f>IF(D93="","-",+C135+1)</f>
        <v>2055</v>
      </c>
      <c r="D136" s="347">
        <f>IF(F135+SUM(E$99:E135)=D$92,F135,D$92-SUM(E$99:E135))</f>
        <v>94776</v>
      </c>
      <c r="E136" s="484">
        <f t="shared" si="19"/>
        <v>34497</v>
      </c>
      <c r="F136" s="485">
        <f t="shared" si="20"/>
        <v>60279</v>
      </c>
      <c r="G136" s="485">
        <f t="shared" si="21"/>
        <v>77527.5</v>
      </c>
      <c r="H136" s="486">
        <f t="shared" si="22"/>
        <v>43039.185620816941</v>
      </c>
      <c r="I136" s="542">
        <f t="shared" si="23"/>
        <v>43039.185620816941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8"/>
        <v/>
      </c>
      <c r="C137" s="472">
        <f>IF(D93="","-",+C136+1)</f>
        <v>2056</v>
      </c>
      <c r="D137" s="347">
        <f>IF(F136+SUM(E$99:E136)=D$92,F136,D$92-SUM(E$99:E136))</f>
        <v>60279</v>
      </c>
      <c r="E137" s="484">
        <f t="shared" si="19"/>
        <v>34497</v>
      </c>
      <c r="F137" s="485">
        <f t="shared" si="20"/>
        <v>25782</v>
      </c>
      <c r="G137" s="485">
        <f t="shared" si="21"/>
        <v>43030.5</v>
      </c>
      <c r="H137" s="486">
        <f t="shared" si="22"/>
        <v>39238.214644565647</v>
      </c>
      <c r="I137" s="542">
        <f t="shared" si="23"/>
        <v>39238.214644565647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8"/>
        <v/>
      </c>
      <c r="C138" s="472">
        <f>IF(D93="","-",+C137+1)</f>
        <v>2057</v>
      </c>
      <c r="D138" s="347">
        <f>IF(F137+SUM(E$99:E137)=D$92,F137,D$92-SUM(E$99:E137))</f>
        <v>25782</v>
      </c>
      <c r="E138" s="484">
        <f t="shared" si="19"/>
        <v>25782</v>
      </c>
      <c r="F138" s="485">
        <f t="shared" si="20"/>
        <v>0</v>
      </c>
      <c r="G138" s="485">
        <f t="shared" si="21"/>
        <v>12891</v>
      </c>
      <c r="H138" s="486">
        <f t="shared" si="22"/>
        <v>27202.36457822</v>
      </c>
      <c r="I138" s="542">
        <f t="shared" si="23"/>
        <v>27202.36457822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8"/>
        <v/>
      </c>
      <c r="C139" s="472">
        <f>IF(D93="","-",+C138+1)</f>
        <v>2058</v>
      </c>
      <c r="D139" s="347">
        <f>IF(F138+SUM(E$99:E138)=D$92,F138,D$92-SUM(E$99:E138))</f>
        <v>0</v>
      </c>
      <c r="E139" s="484">
        <f t="shared" si="19"/>
        <v>0</v>
      </c>
      <c r="F139" s="485">
        <f t="shared" si="20"/>
        <v>0</v>
      </c>
      <c r="G139" s="485">
        <f t="shared" si="21"/>
        <v>0</v>
      </c>
      <c r="H139" s="486">
        <f t="shared" si="22"/>
        <v>0</v>
      </c>
      <c r="I139" s="542">
        <f t="shared" si="23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8"/>
        <v/>
      </c>
      <c r="C140" s="472">
        <f>IF(D93="","-",+C139+1)</f>
        <v>2059</v>
      </c>
      <c r="D140" s="347">
        <f>IF(F139+SUM(E$99:E139)=D$92,F139,D$92-SUM(E$99:E139))</f>
        <v>0</v>
      </c>
      <c r="E140" s="484">
        <f t="shared" si="19"/>
        <v>0</v>
      </c>
      <c r="F140" s="485">
        <f t="shared" si="20"/>
        <v>0</v>
      </c>
      <c r="G140" s="485">
        <f t="shared" si="21"/>
        <v>0</v>
      </c>
      <c r="H140" s="486">
        <f t="shared" si="22"/>
        <v>0</v>
      </c>
      <c r="I140" s="542">
        <f t="shared" si="23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8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486">
        <f t="shared" si="22"/>
        <v>0</v>
      </c>
      <c r="I141" s="542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8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486">
        <f t="shared" si="22"/>
        <v>0</v>
      </c>
      <c r="I142" s="542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8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486">
        <f t="shared" si="22"/>
        <v>0</v>
      </c>
      <c r="I143" s="542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8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486">
        <f t="shared" si="22"/>
        <v>0</v>
      </c>
      <c r="I144" s="542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8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486">
        <f t="shared" si="22"/>
        <v>0</v>
      </c>
      <c r="I145" s="542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8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486">
        <f t="shared" si="22"/>
        <v>0</v>
      </c>
      <c r="I146" s="542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8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486">
        <f t="shared" si="22"/>
        <v>0</v>
      </c>
      <c r="I147" s="542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8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486">
        <f t="shared" si="22"/>
        <v>0</v>
      </c>
      <c r="I148" s="542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8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486">
        <f t="shared" si="22"/>
        <v>0</v>
      </c>
      <c r="I149" s="542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8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486">
        <f t="shared" si="22"/>
        <v>0</v>
      </c>
      <c r="I150" s="542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8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486">
        <f t="shared" si="22"/>
        <v>0</v>
      </c>
      <c r="I151" s="542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8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486">
        <f t="shared" si="22"/>
        <v>0</v>
      </c>
      <c r="I152" s="542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8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486">
        <f t="shared" si="22"/>
        <v>0</v>
      </c>
      <c r="I153" s="542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1345383</v>
      </c>
      <c r="F155" s="348"/>
      <c r="G155" s="348"/>
      <c r="H155" s="348">
        <f>SUM(H99:H154)</f>
        <v>4266505.7942413446</v>
      </c>
      <c r="I155" s="348">
        <f>SUM(I99:I154)</f>
        <v>4266505.7942413446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2"/>
  <sheetViews>
    <sheetView zoomScale="85" zoomScaleNormal="85" workbookViewId="0">
      <selection activeCell="G32" sqref="G3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25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33648.35187112401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33648.35187112401</v>
      </c>
      <c r="O6" s="233"/>
      <c r="P6" s="233"/>
    </row>
    <row r="7" spans="1:16" ht="13.5" thickBot="1">
      <c r="C7" s="431" t="s">
        <v>46</v>
      </c>
      <c r="D7" s="599" t="s">
        <v>311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312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288860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6877.6190476190477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11600</v>
      </c>
      <c r="F17" s="584">
        <v>1032400</v>
      </c>
      <c r="G17" s="608">
        <v>81460.13871045578</v>
      </c>
      <c r="H17" s="587">
        <v>81460.13871045578</v>
      </c>
      <c r="I17" s="475">
        <f>H17-G17</f>
        <v>0</v>
      </c>
      <c r="J17" s="475"/>
      <c r="K17" s="554">
        <f>+G17</f>
        <v>81460.13871045578</v>
      </c>
      <c r="L17" s="477">
        <f t="shared" ref="L17:L72" si="0">IF(K17&lt;&gt;0,+G17-K17,0)</f>
        <v>0</v>
      </c>
      <c r="M17" s="554">
        <f>+H17</f>
        <v>81460.13871045578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2019</v>
      </c>
      <c r="D18" s="584">
        <v>0</v>
      </c>
      <c r="E18" s="585">
        <v>11600</v>
      </c>
      <c r="F18" s="584">
        <v>1032400</v>
      </c>
      <c r="G18" s="585">
        <v>73419.565193351213</v>
      </c>
      <c r="H18" s="587">
        <v>73419.565193351213</v>
      </c>
      <c r="I18" s="475">
        <f>H18-G18</f>
        <v>0</v>
      </c>
      <c r="J18" s="475"/>
      <c r="K18" s="478">
        <f>+G18</f>
        <v>73419.565193351213</v>
      </c>
      <c r="L18" s="478">
        <f t="shared" si="0"/>
        <v>0</v>
      </c>
      <c r="M18" s="478">
        <f>+H18</f>
        <v>73419.565193351213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267280</v>
      </c>
      <c r="E19" s="585">
        <v>7192.3809523809523</v>
      </c>
      <c r="F19" s="584">
        <v>260087.61904761905</v>
      </c>
      <c r="G19" s="585">
        <v>35671.491974766584</v>
      </c>
      <c r="H19" s="587">
        <v>35671.491974766584</v>
      </c>
      <c r="I19" s="475">
        <f t="shared" ref="I19:I71" si="3">H19-G19</f>
        <v>0</v>
      </c>
      <c r="J19" s="475"/>
      <c r="K19" s="478">
        <f>+G19</f>
        <v>35671.491974766584</v>
      </c>
      <c r="L19" s="478">
        <f t="shared" ref="L19" si="4">IF(K19&lt;&gt;0,+G19-K19,0)</f>
        <v>0</v>
      </c>
      <c r="M19" s="478">
        <f>+H19</f>
        <v>35671.491974766584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258467.61904761905</v>
      </c>
      <c r="E20" s="585">
        <v>6717.6744186046508</v>
      </c>
      <c r="F20" s="584">
        <v>251749.94462901441</v>
      </c>
      <c r="G20" s="585">
        <v>34223.924690152948</v>
      </c>
      <c r="H20" s="587">
        <v>34223.924690152948</v>
      </c>
      <c r="I20" s="475">
        <f t="shared" si="3"/>
        <v>0</v>
      </c>
      <c r="J20" s="475"/>
      <c r="K20" s="478">
        <f>+G20</f>
        <v>34223.924690152948</v>
      </c>
      <c r="L20" s="478">
        <f t="shared" ref="L20" si="6">IF(K20&lt;&gt;0,+G20-K20,0)</f>
        <v>0</v>
      </c>
      <c r="M20" s="478">
        <f>+H20</f>
        <v>34223.924690152948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2022</v>
      </c>
      <c r="D21" s="584">
        <v>251749.94462901441</v>
      </c>
      <c r="E21" s="585">
        <v>6877.6190476190477</v>
      </c>
      <c r="F21" s="584">
        <v>244872.32558139536</v>
      </c>
      <c r="G21" s="585">
        <v>33648.35187112401</v>
      </c>
      <c r="H21" s="587">
        <v>33648.35187112401</v>
      </c>
      <c r="I21" s="475">
        <f t="shared" si="3"/>
        <v>0</v>
      </c>
      <c r="J21" s="475"/>
      <c r="K21" s="478">
        <f>+G21</f>
        <v>33648.35187112401</v>
      </c>
      <c r="L21" s="478">
        <f t="shared" ref="L21" si="7">IF(K21&lt;&gt;0,+G21-K21,0)</f>
        <v>0</v>
      </c>
      <c r="M21" s="478">
        <f>+H21</f>
        <v>33648.35187112401</v>
      </c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244872.32558139536</v>
      </c>
      <c r="E22" s="484">
        <f t="shared" ref="E22:E71" si="8">IF(+I$14&lt;F21,I$14,D22)</f>
        <v>6877.6190476190477</v>
      </c>
      <c r="F22" s="485">
        <f t="shared" ref="F22:F71" si="9">+D22-E22</f>
        <v>237994.70653377631</v>
      </c>
      <c r="G22" s="486">
        <f t="shared" ref="G22:G71" si="10">(D22+F22)/2*I$12+E22</f>
        <v>32906.867193412516</v>
      </c>
      <c r="H22" s="455">
        <f t="shared" ref="H22:H71" si="11">+(D22+F22)/2*I$13+E22</f>
        <v>32906.867193412516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237994.70653377631</v>
      </c>
      <c r="E23" s="484">
        <f t="shared" si="8"/>
        <v>6877.6190476190477</v>
      </c>
      <c r="F23" s="485">
        <f t="shared" si="9"/>
        <v>231117.08748615725</v>
      </c>
      <c r="G23" s="486">
        <f t="shared" si="10"/>
        <v>32165.382515701021</v>
      </c>
      <c r="H23" s="455">
        <f t="shared" si="11"/>
        <v>32165.382515701021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231117.08748615725</v>
      </c>
      <c r="E24" s="484">
        <f t="shared" si="8"/>
        <v>6877.6190476190477</v>
      </c>
      <c r="F24" s="485">
        <f t="shared" si="9"/>
        <v>224239.4684385382</v>
      </c>
      <c r="G24" s="486">
        <f t="shared" si="10"/>
        <v>31423.897837989527</v>
      </c>
      <c r="H24" s="455">
        <f t="shared" si="11"/>
        <v>31423.897837989527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224239.4684385382</v>
      </c>
      <c r="E25" s="484">
        <f t="shared" si="8"/>
        <v>6877.6190476190477</v>
      </c>
      <c r="F25" s="485">
        <f t="shared" si="9"/>
        <v>217361.84939091915</v>
      </c>
      <c r="G25" s="486">
        <f t="shared" si="10"/>
        <v>30682.413160278025</v>
      </c>
      <c r="H25" s="455">
        <f t="shared" si="11"/>
        <v>30682.413160278025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217361.84939091915</v>
      </c>
      <c r="E26" s="484">
        <f t="shared" si="8"/>
        <v>6877.6190476190477</v>
      </c>
      <c r="F26" s="485">
        <f t="shared" si="9"/>
        <v>210484.23034330009</v>
      </c>
      <c r="G26" s="486">
        <f t="shared" si="10"/>
        <v>29940.928482566531</v>
      </c>
      <c r="H26" s="455">
        <f t="shared" si="11"/>
        <v>29940.928482566531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210484.23034330009</v>
      </c>
      <c r="E27" s="484">
        <f t="shared" si="8"/>
        <v>6877.6190476190477</v>
      </c>
      <c r="F27" s="485">
        <f t="shared" si="9"/>
        <v>203606.61129568104</v>
      </c>
      <c r="G27" s="486">
        <f t="shared" si="10"/>
        <v>29199.443804855036</v>
      </c>
      <c r="H27" s="455">
        <f t="shared" si="11"/>
        <v>29199.443804855036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203606.61129568104</v>
      </c>
      <c r="E28" s="484">
        <f t="shared" si="8"/>
        <v>6877.6190476190477</v>
      </c>
      <c r="F28" s="485">
        <f t="shared" si="9"/>
        <v>196728.99224806199</v>
      </c>
      <c r="G28" s="486">
        <f t="shared" si="10"/>
        <v>28457.959127143542</v>
      </c>
      <c r="H28" s="455">
        <f t="shared" si="11"/>
        <v>28457.959127143542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196728.99224806199</v>
      </c>
      <c r="E29" s="484">
        <f t="shared" si="8"/>
        <v>6877.6190476190477</v>
      </c>
      <c r="F29" s="485">
        <f t="shared" si="9"/>
        <v>189851.37320044293</v>
      </c>
      <c r="G29" s="486">
        <f t="shared" si="10"/>
        <v>27716.474449432048</v>
      </c>
      <c r="H29" s="455">
        <f t="shared" si="11"/>
        <v>27716.474449432048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189851.37320044293</v>
      </c>
      <c r="E30" s="484">
        <f t="shared" si="8"/>
        <v>6877.6190476190477</v>
      </c>
      <c r="F30" s="485">
        <f t="shared" si="9"/>
        <v>182973.75415282388</v>
      </c>
      <c r="G30" s="486">
        <f t="shared" si="10"/>
        <v>26974.989771720553</v>
      </c>
      <c r="H30" s="455">
        <f t="shared" si="11"/>
        <v>26974.989771720553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182973.75415282388</v>
      </c>
      <c r="E31" s="484">
        <f t="shared" si="8"/>
        <v>6877.6190476190477</v>
      </c>
      <c r="F31" s="485">
        <f t="shared" si="9"/>
        <v>176096.13510520483</v>
      </c>
      <c r="G31" s="486">
        <f t="shared" si="10"/>
        <v>26233.505094009059</v>
      </c>
      <c r="H31" s="455">
        <f t="shared" si="11"/>
        <v>26233.505094009059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176096.13510520483</v>
      </c>
      <c r="E32" s="484">
        <f t="shared" si="8"/>
        <v>6877.6190476190477</v>
      </c>
      <c r="F32" s="485">
        <f t="shared" si="9"/>
        <v>169218.51605758577</v>
      </c>
      <c r="G32" s="486">
        <f t="shared" si="10"/>
        <v>25492.020416297564</v>
      </c>
      <c r="H32" s="455">
        <f t="shared" si="11"/>
        <v>25492.020416297564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169218.51605758577</v>
      </c>
      <c r="E33" s="484">
        <f t="shared" si="8"/>
        <v>6877.6190476190477</v>
      </c>
      <c r="F33" s="485">
        <f t="shared" si="9"/>
        <v>162340.89700996672</v>
      </c>
      <c r="G33" s="486">
        <f t="shared" si="10"/>
        <v>24750.53573858607</v>
      </c>
      <c r="H33" s="455">
        <f t="shared" si="11"/>
        <v>24750.53573858607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162340.89700996672</v>
      </c>
      <c r="E34" s="484">
        <f t="shared" si="8"/>
        <v>6877.6190476190477</v>
      </c>
      <c r="F34" s="485">
        <f t="shared" si="9"/>
        <v>155463.27796234767</v>
      </c>
      <c r="G34" s="486">
        <f t="shared" si="10"/>
        <v>24009.051060874575</v>
      </c>
      <c r="H34" s="455">
        <f t="shared" si="11"/>
        <v>24009.051060874575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155463.27796234767</v>
      </c>
      <c r="E35" s="484">
        <f t="shared" si="8"/>
        <v>6877.6190476190477</v>
      </c>
      <c r="F35" s="485">
        <f t="shared" si="9"/>
        <v>148585.65891472861</v>
      </c>
      <c r="G35" s="486">
        <f t="shared" si="10"/>
        <v>23267.566383163081</v>
      </c>
      <c r="H35" s="455">
        <f t="shared" si="11"/>
        <v>23267.566383163081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148585.65891472861</v>
      </c>
      <c r="E36" s="484">
        <f t="shared" si="8"/>
        <v>6877.6190476190477</v>
      </c>
      <c r="F36" s="485">
        <f t="shared" si="9"/>
        <v>141708.03986710956</v>
      </c>
      <c r="G36" s="486">
        <f t="shared" si="10"/>
        <v>22526.081705451586</v>
      </c>
      <c r="H36" s="455">
        <f t="shared" si="11"/>
        <v>22526.081705451586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141708.03986710956</v>
      </c>
      <c r="E37" s="484">
        <f t="shared" si="8"/>
        <v>6877.6190476190477</v>
      </c>
      <c r="F37" s="485">
        <f t="shared" si="9"/>
        <v>134830.42081949051</v>
      </c>
      <c r="G37" s="486">
        <f t="shared" si="10"/>
        <v>21784.597027740092</v>
      </c>
      <c r="H37" s="455">
        <f t="shared" si="11"/>
        <v>21784.597027740092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134830.42081949051</v>
      </c>
      <c r="E38" s="484">
        <f t="shared" si="8"/>
        <v>6877.6190476190477</v>
      </c>
      <c r="F38" s="485">
        <f t="shared" si="9"/>
        <v>127952.80177187145</v>
      </c>
      <c r="G38" s="486">
        <f t="shared" si="10"/>
        <v>21043.112350028598</v>
      </c>
      <c r="H38" s="455">
        <f t="shared" si="11"/>
        <v>21043.112350028598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127952.80177187145</v>
      </c>
      <c r="E39" s="484">
        <f t="shared" si="8"/>
        <v>6877.6190476190477</v>
      </c>
      <c r="F39" s="485">
        <f t="shared" si="9"/>
        <v>121075.1827242524</v>
      </c>
      <c r="G39" s="486">
        <f t="shared" si="10"/>
        <v>20301.627672317099</v>
      </c>
      <c r="H39" s="455">
        <f t="shared" si="11"/>
        <v>20301.627672317099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121075.1827242524</v>
      </c>
      <c r="E40" s="484">
        <f t="shared" si="8"/>
        <v>6877.6190476190477</v>
      </c>
      <c r="F40" s="485">
        <f t="shared" si="9"/>
        <v>114197.56367663335</v>
      </c>
      <c r="G40" s="486">
        <f t="shared" si="10"/>
        <v>19560.142994605605</v>
      </c>
      <c r="H40" s="455">
        <f t="shared" si="11"/>
        <v>19560.142994605605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114197.56367663335</v>
      </c>
      <c r="E41" s="484">
        <f t="shared" si="8"/>
        <v>6877.6190476190477</v>
      </c>
      <c r="F41" s="485">
        <f t="shared" si="9"/>
        <v>107319.9446290143</v>
      </c>
      <c r="G41" s="486">
        <f t="shared" si="10"/>
        <v>18818.658316894111</v>
      </c>
      <c r="H41" s="455">
        <f t="shared" si="11"/>
        <v>18818.658316894111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107319.9446290143</v>
      </c>
      <c r="E42" s="484">
        <f t="shared" si="8"/>
        <v>6877.6190476190477</v>
      </c>
      <c r="F42" s="485">
        <f t="shared" si="9"/>
        <v>100442.32558139524</v>
      </c>
      <c r="G42" s="486">
        <f t="shared" si="10"/>
        <v>18077.173639182613</v>
      </c>
      <c r="H42" s="455">
        <f t="shared" si="11"/>
        <v>18077.173639182613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100442.32558139524</v>
      </c>
      <c r="E43" s="484">
        <f t="shared" si="8"/>
        <v>6877.6190476190477</v>
      </c>
      <c r="F43" s="485">
        <f t="shared" si="9"/>
        <v>93564.706533776189</v>
      </c>
      <c r="G43" s="486">
        <f t="shared" si="10"/>
        <v>17335.688961471118</v>
      </c>
      <c r="H43" s="455">
        <f t="shared" si="11"/>
        <v>17335.688961471118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93564.706533776189</v>
      </c>
      <c r="E44" s="484">
        <f t="shared" si="8"/>
        <v>6877.6190476190477</v>
      </c>
      <c r="F44" s="485">
        <f t="shared" si="9"/>
        <v>86687.087486157136</v>
      </c>
      <c r="G44" s="486">
        <f t="shared" si="10"/>
        <v>16594.204283759624</v>
      </c>
      <c r="H44" s="455">
        <f t="shared" si="11"/>
        <v>16594.204283759624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86687.087486157136</v>
      </c>
      <c r="E45" s="484">
        <f t="shared" si="8"/>
        <v>6877.6190476190477</v>
      </c>
      <c r="F45" s="485">
        <f t="shared" si="9"/>
        <v>79809.468438538082</v>
      </c>
      <c r="G45" s="486">
        <f t="shared" si="10"/>
        <v>15852.719606048131</v>
      </c>
      <c r="H45" s="455">
        <f t="shared" si="11"/>
        <v>15852.719606048131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79809.468438538082</v>
      </c>
      <c r="E46" s="484">
        <f t="shared" si="8"/>
        <v>6877.6190476190477</v>
      </c>
      <c r="F46" s="485">
        <f t="shared" si="9"/>
        <v>72931.849390919029</v>
      </c>
      <c r="G46" s="486">
        <f t="shared" si="10"/>
        <v>15111.234928336635</v>
      </c>
      <c r="H46" s="455">
        <f t="shared" si="11"/>
        <v>15111.234928336635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72931.849390919029</v>
      </c>
      <c r="E47" s="484">
        <f t="shared" si="8"/>
        <v>6877.6190476190477</v>
      </c>
      <c r="F47" s="485">
        <f t="shared" si="9"/>
        <v>66054.230343299976</v>
      </c>
      <c r="G47" s="486">
        <f t="shared" si="10"/>
        <v>14369.75025062514</v>
      </c>
      <c r="H47" s="455">
        <f t="shared" si="11"/>
        <v>14369.75025062514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66054.230343299976</v>
      </c>
      <c r="E48" s="484">
        <f t="shared" si="8"/>
        <v>6877.6190476190477</v>
      </c>
      <c r="F48" s="485">
        <f t="shared" si="9"/>
        <v>59176.61129568093</v>
      </c>
      <c r="G48" s="486">
        <f t="shared" si="10"/>
        <v>13628.265572913646</v>
      </c>
      <c r="H48" s="455">
        <f t="shared" si="11"/>
        <v>13628.265572913646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59176.61129568093</v>
      </c>
      <c r="E49" s="484">
        <f t="shared" si="8"/>
        <v>6877.6190476190477</v>
      </c>
      <c r="F49" s="485">
        <f t="shared" si="9"/>
        <v>52298.992248061884</v>
      </c>
      <c r="G49" s="486">
        <f t="shared" si="10"/>
        <v>12886.780895202151</v>
      </c>
      <c r="H49" s="455">
        <f t="shared" si="11"/>
        <v>12886.780895202151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52298.992248061884</v>
      </c>
      <c r="E50" s="484">
        <f t="shared" si="8"/>
        <v>6877.6190476190477</v>
      </c>
      <c r="F50" s="485">
        <f t="shared" si="9"/>
        <v>45421.373200442838</v>
      </c>
      <c r="G50" s="486">
        <f t="shared" si="10"/>
        <v>12145.296217490657</v>
      </c>
      <c r="H50" s="455">
        <f t="shared" si="11"/>
        <v>12145.296217490657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45421.373200442838</v>
      </c>
      <c r="E51" s="484">
        <f t="shared" si="8"/>
        <v>6877.6190476190477</v>
      </c>
      <c r="F51" s="485">
        <f t="shared" si="9"/>
        <v>38543.754152823793</v>
      </c>
      <c r="G51" s="486">
        <f t="shared" si="10"/>
        <v>11403.811539779164</v>
      </c>
      <c r="H51" s="455">
        <f t="shared" si="11"/>
        <v>11403.811539779164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38543.754152823793</v>
      </c>
      <c r="E52" s="484">
        <f t="shared" si="8"/>
        <v>6877.6190476190477</v>
      </c>
      <c r="F52" s="485">
        <f t="shared" si="9"/>
        <v>31666.135105204747</v>
      </c>
      <c r="G52" s="486">
        <f t="shared" si="10"/>
        <v>10662.32686206767</v>
      </c>
      <c r="H52" s="455">
        <f t="shared" si="11"/>
        <v>10662.32686206767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31666.135105204747</v>
      </c>
      <c r="E53" s="484">
        <f t="shared" si="8"/>
        <v>6877.6190476190477</v>
      </c>
      <c r="F53" s="485">
        <f t="shared" si="9"/>
        <v>24788.516057585701</v>
      </c>
      <c r="G53" s="486">
        <f t="shared" si="10"/>
        <v>9920.8421843561755</v>
      </c>
      <c r="H53" s="455">
        <f t="shared" si="11"/>
        <v>9920.8421843561755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24788.516057585701</v>
      </c>
      <c r="E54" s="484">
        <f t="shared" si="8"/>
        <v>6877.6190476190477</v>
      </c>
      <c r="F54" s="485">
        <f t="shared" si="9"/>
        <v>17910.897009966655</v>
      </c>
      <c r="G54" s="486">
        <f t="shared" si="10"/>
        <v>9179.3575066446811</v>
      </c>
      <c r="H54" s="455">
        <f t="shared" si="11"/>
        <v>9179.3575066446811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17910.897009966655</v>
      </c>
      <c r="E55" s="484">
        <f t="shared" si="8"/>
        <v>6877.6190476190477</v>
      </c>
      <c r="F55" s="485">
        <f t="shared" si="9"/>
        <v>11033.277962347607</v>
      </c>
      <c r="G55" s="486">
        <f t="shared" si="10"/>
        <v>8437.8728289331866</v>
      </c>
      <c r="H55" s="455">
        <f t="shared" si="11"/>
        <v>8437.8728289331866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11033.277962347607</v>
      </c>
      <c r="E56" s="484">
        <f t="shared" si="8"/>
        <v>6877.6190476190477</v>
      </c>
      <c r="F56" s="485">
        <f t="shared" si="9"/>
        <v>4155.6589147285595</v>
      </c>
      <c r="G56" s="486">
        <f t="shared" si="10"/>
        <v>7696.3881512216931</v>
      </c>
      <c r="H56" s="455">
        <f t="shared" si="11"/>
        <v>7696.3881512216931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4155.6589147285595</v>
      </c>
      <c r="E57" s="484">
        <f t="shared" si="8"/>
        <v>4155.6589147285595</v>
      </c>
      <c r="F57" s="485">
        <f t="shared" si="9"/>
        <v>0</v>
      </c>
      <c r="G57" s="486">
        <f t="shared" si="10"/>
        <v>4379.6722971020081</v>
      </c>
      <c r="H57" s="455">
        <f t="shared" si="11"/>
        <v>4379.6722971020081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8"/>
        <v>0</v>
      </c>
      <c r="F58" s="485">
        <f t="shared" si="9"/>
        <v>0</v>
      </c>
      <c r="G58" s="486">
        <f t="shared" si="10"/>
        <v>0</v>
      </c>
      <c r="H58" s="455">
        <f t="shared" si="11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288860</v>
      </c>
      <c r="F73" s="348"/>
      <c r="G73" s="348">
        <f>SUM(G17:G72)</f>
        <v>973360.11326805118</v>
      </c>
      <c r="H73" s="348">
        <f>SUM(H17:H72)</f>
        <v>973360.11326805118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25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33648.35187112401</v>
      </c>
      <c r="N87" s="508">
        <f>IF(J92&lt;D11,0,VLOOKUP(J92,C17:O72,11))</f>
        <v>33648.35187112401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36146.602445472985</v>
      </c>
      <c r="N88" s="512">
        <f>IF(J92&lt;D11,0,VLOOKUP(J92,C99:P154,7))</f>
        <v>36146.602445472985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Fort Towson-Valliant Line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2498.2505743489746</v>
      </c>
      <c r="N89" s="517">
        <f>+N88-N87</f>
        <v>2498.2505743489746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TP2015204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288860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7407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3512.5</v>
      </c>
      <c r="F99" s="584">
        <v>298567.5</v>
      </c>
      <c r="G99" s="608">
        <v>149283.75</v>
      </c>
      <c r="H99" s="587">
        <v>18849.250674297917</v>
      </c>
      <c r="I99" s="607">
        <v>18849.250674297917</v>
      </c>
      <c r="J99" s="478">
        <f>+I99-H99</f>
        <v>0</v>
      </c>
      <c r="K99" s="478"/>
      <c r="L99" s="477">
        <f>+H99</f>
        <v>18849.250674297917</v>
      </c>
      <c r="M99" s="477">
        <f t="shared" ref="M99" si="12">IF(L99&lt;&gt;0,+H99-L99,0)</f>
        <v>0</v>
      </c>
      <c r="N99" s="477">
        <f>+I99</f>
        <v>18849.250674297917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285347.5</v>
      </c>
      <c r="E100" s="585">
        <v>7045</v>
      </c>
      <c r="F100" s="586">
        <v>278302.5</v>
      </c>
      <c r="G100" s="586">
        <v>281825</v>
      </c>
      <c r="H100" s="606">
        <v>36105.110400173638</v>
      </c>
      <c r="I100" s="607">
        <v>36105.110400173638</v>
      </c>
      <c r="J100" s="478">
        <f t="shared" ref="J100:J130" si="15">+I100-H100</f>
        <v>0</v>
      </c>
      <c r="K100" s="478"/>
      <c r="L100" s="476">
        <f>H100</f>
        <v>36105.110400173638</v>
      </c>
      <c r="M100" s="349">
        <f>IF(L100&lt;&gt;0,+H100-L100,0)</f>
        <v>0</v>
      </c>
      <c r="N100" s="476">
        <f>I100</f>
        <v>36105.110400173638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>
      <c r="B101" s="160" t="str">
        <f t="shared" ref="B101:B154" si="18">IF(D101=F100,"","IU")</f>
        <v/>
      </c>
      <c r="C101" s="472">
        <f>IF(D93="","-",+C100+1)</f>
        <v>2020</v>
      </c>
      <c r="D101" s="584">
        <v>278302.5</v>
      </c>
      <c r="E101" s="585">
        <v>6718</v>
      </c>
      <c r="F101" s="586">
        <v>271584.5</v>
      </c>
      <c r="G101" s="586">
        <v>274943.5</v>
      </c>
      <c r="H101" s="606">
        <v>38418.229655174066</v>
      </c>
      <c r="I101" s="607">
        <v>38418.229655174066</v>
      </c>
      <c r="J101" s="478">
        <f t="shared" si="15"/>
        <v>0</v>
      </c>
      <c r="K101" s="478"/>
      <c r="L101" s="476">
        <f>H101</f>
        <v>38418.229655174066</v>
      </c>
      <c r="M101" s="349">
        <f>IF(L101&lt;&gt;0,+H101-L101,0)</f>
        <v>0</v>
      </c>
      <c r="N101" s="476">
        <f>I101</f>
        <v>38418.229655174066</v>
      </c>
      <c r="O101" s="478">
        <f t="shared" si="16"/>
        <v>0</v>
      </c>
      <c r="P101" s="478">
        <f t="shared" si="17"/>
        <v>0</v>
      </c>
    </row>
    <row r="102" spans="1:16">
      <c r="B102" s="160" t="str">
        <f t="shared" si="18"/>
        <v/>
      </c>
      <c r="C102" s="472">
        <f>IF(D93="","-",+C101+1)</f>
        <v>2021</v>
      </c>
      <c r="D102" s="584">
        <v>271584.5</v>
      </c>
      <c r="E102" s="585">
        <v>7045</v>
      </c>
      <c r="F102" s="586">
        <v>264539.5</v>
      </c>
      <c r="G102" s="586">
        <v>268062</v>
      </c>
      <c r="H102" s="606">
        <v>37548.523685600252</v>
      </c>
      <c r="I102" s="607">
        <v>37548.523685600252</v>
      </c>
      <c r="J102" s="478">
        <f t="shared" si="15"/>
        <v>0</v>
      </c>
      <c r="K102" s="478"/>
      <c r="L102" s="476">
        <f>H102</f>
        <v>37548.523685600252</v>
      </c>
      <c r="M102" s="349">
        <f>IF(L102&lt;&gt;0,+H102-L102,0)</f>
        <v>0</v>
      </c>
      <c r="N102" s="476">
        <f>I102</f>
        <v>37548.523685600252</v>
      </c>
      <c r="O102" s="478">
        <f t="shared" si="16"/>
        <v>0</v>
      </c>
      <c r="P102" s="478">
        <f t="shared" si="17"/>
        <v>0</v>
      </c>
    </row>
    <row r="103" spans="1:16">
      <c r="B103" s="160" t="str">
        <f t="shared" si="18"/>
        <v/>
      </c>
      <c r="C103" s="472">
        <f>IF(D93="","-",+C102+1)</f>
        <v>2022</v>
      </c>
      <c r="D103" s="347">
        <f>IF(F102+SUM(E$99:E102)=D$92,F102,D$92-SUM(E$99:E102))</f>
        <v>264539.5</v>
      </c>
      <c r="E103" s="484">
        <f t="shared" ref="E103:E154" si="19">IF(+J$96&lt;F102,J$96,D103)</f>
        <v>7407</v>
      </c>
      <c r="F103" s="485">
        <f t="shared" ref="F103:F154" si="20">+D103-E103</f>
        <v>257132.5</v>
      </c>
      <c r="G103" s="485">
        <f t="shared" ref="G103:G154" si="21">+(F103+D103)/2</f>
        <v>260836</v>
      </c>
      <c r="H103" s="486">
        <f t="shared" ref="H103:H153" si="22">(D103+F103)/2*J$94+E103</f>
        <v>36146.602445472985</v>
      </c>
      <c r="I103" s="542">
        <f t="shared" ref="I103:I153" si="23">+J$95*G103+E103</f>
        <v>36146.602445472985</v>
      </c>
      <c r="J103" s="478">
        <f t="shared" si="15"/>
        <v>0</v>
      </c>
      <c r="K103" s="478"/>
      <c r="L103" s="487"/>
      <c r="M103" s="478">
        <f t="shared" ref="M103:M130" si="24">IF(L103&lt;&gt;0,+H103-L103,0)</f>
        <v>0</v>
      </c>
      <c r="N103" s="487"/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2023</v>
      </c>
      <c r="D104" s="347">
        <f>IF(F103+SUM(E$99:E103)=D$92,F103,D$92-SUM(E$99:E103))</f>
        <v>257132.5</v>
      </c>
      <c r="E104" s="484">
        <f t="shared" si="19"/>
        <v>7407</v>
      </c>
      <c r="F104" s="485">
        <f t="shared" si="20"/>
        <v>249725.5</v>
      </c>
      <c r="G104" s="485">
        <f t="shared" si="21"/>
        <v>253429</v>
      </c>
      <c r="H104" s="486">
        <f t="shared" si="22"/>
        <v>35330.479535623046</v>
      </c>
      <c r="I104" s="542">
        <f t="shared" si="23"/>
        <v>35330.479535623046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2024</v>
      </c>
      <c r="D105" s="347">
        <f>IF(F104+SUM(E$99:E104)=D$92,F104,D$92-SUM(E$99:E104))</f>
        <v>249725.5</v>
      </c>
      <c r="E105" s="484">
        <f t="shared" si="19"/>
        <v>7407</v>
      </c>
      <c r="F105" s="485">
        <f t="shared" si="20"/>
        <v>242318.5</v>
      </c>
      <c r="G105" s="485">
        <f t="shared" si="21"/>
        <v>246022</v>
      </c>
      <c r="H105" s="486">
        <f t="shared" si="22"/>
        <v>34514.356625773115</v>
      </c>
      <c r="I105" s="542">
        <f t="shared" si="23"/>
        <v>34514.356625773115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2025</v>
      </c>
      <c r="D106" s="347">
        <f>IF(F105+SUM(E$99:E105)=D$92,F105,D$92-SUM(E$99:E105))</f>
        <v>242318.5</v>
      </c>
      <c r="E106" s="484">
        <f t="shared" si="19"/>
        <v>7407</v>
      </c>
      <c r="F106" s="485">
        <f t="shared" si="20"/>
        <v>234911.5</v>
      </c>
      <c r="G106" s="485">
        <f t="shared" si="21"/>
        <v>238615</v>
      </c>
      <c r="H106" s="486">
        <f t="shared" si="22"/>
        <v>33698.233715923168</v>
      </c>
      <c r="I106" s="542">
        <f t="shared" si="23"/>
        <v>33698.233715923168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2026</v>
      </c>
      <c r="D107" s="347">
        <f>IF(F106+SUM(E$99:E106)=D$92,F106,D$92-SUM(E$99:E106))</f>
        <v>234911.5</v>
      </c>
      <c r="E107" s="484">
        <f t="shared" si="19"/>
        <v>7407</v>
      </c>
      <c r="F107" s="485">
        <f t="shared" si="20"/>
        <v>227504.5</v>
      </c>
      <c r="G107" s="485">
        <f t="shared" si="21"/>
        <v>231208</v>
      </c>
      <c r="H107" s="486">
        <f t="shared" si="22"/>
        <v>32882.110806073237</v>
      </c>
      <c r="I107" s="542">
        <f t="shared" si="23"/>
        <v>32882.110806073237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2027</v>
      </c>
      <c r="D108" s="347">
        <f>IF(F107+SUM(E$99:E107)=D$92,F107,D$92-SUM(E$99:E107))</f>
        <v>227504.5</v>
      </c>
      <c r="E108" s="484">
        <f t="shared" si="19"/>
        <v>7407</v>
      </c>
      <c r="F108" s="485">
        <f t="shared" si="20"/>
        <v>220097.5</v>
      </c>
      <c r="G108" s="485">
        <f t="shared" si="21"/>
        <v>223801</v>
      </c>
      <c r="H108" s="486">
        <f t="shared" si="22"/>
        <v>32065.987896223298</v>
      </c>
      <c r="I108" s="542">
        <f t="shared" si="23"/>
        <v>32065.987896223298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2028</v>
      </c>
      <c r="D109" s="347">
        <f>IF(F108+SUM(E$99:E108)=D$92,F108,D$92-SUM(E$99:E108))</f>
        <v>220097.5</v>
      </c>
      <c r="E109" s="484">
        <f t="shared" si="19"/>
        <v>7407</v>
      </c>
      <c r="F109" s="485">
        <f t="shared" si="20"/>
        <v>212690.5</v>
      </c>
      <c r="G109" s="485">
        <f t="shared" si="21"/>
        <v>216394</v>
      </c>
      <c r="H109" s="486">
        <f t="shared" si="22"/>
        <v>31249.864986373359</v>
      </c>
      <c r="I109" s="542">
        <f t="shared" si="23"/>
        <v>31249.864986373359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2029</v>
      </c>
      <c r="D110" s="347">
        <f>IF(F109+SUM(E$99:E109)=D$92,F109,D$92-SUM(E$99:E109))</f>
        <v>212690.5</v>
      </c>
      <c r="E110" s="484">
        <f t="shared" si="19"/>
        <v>7407</v>
      </c>
      <c r="F110" s="485">
        <f t="shared" si="20"/>
        <v>205283.5</v>
      </c>
      <c r="G110" s="485">
        <f t="shared" si="21"/>
        <v>208987</v>
      </c>
      <c r="H110" s="486">
        <f t="shared" si="22"/>
        <v>30433.74207652342</v>
      </c>
      <c r="I110" s="542">
        <f t="shared" si="23"/>
        <v>30433.74207652342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2030</v>
      </c>
      <c r="D111" s="347">
        <f>IF(F110+SUM(E$99:E110)=D$92,F110,D$92-SUM(E$99:E110))</f>
        <v>205283.5</v>
      </c>
      <c r="E111" s="484">
        <f t="shared" si="19"/>
        <v>7407</v>
      </c>
      <c r="F111" s="485">
        <f t="shared" si="20"/>
        <v>197876.5</v>
      </c>
      <c r="G111" s="485">
        <f t="shared" si="21"/>
        <v>201580</v>
      </c>
      <c r="H111" s="486">
        <f t="shared" si="22"/>
        <v>29617.619166673481</v>
      </c>
      <c r="I111" s="542">
        <f t="shared" si="23"/>
        <v>29617.619166673481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2031</v>
      </c>
      <c r="D112" s="347">
        <f>IF(F111+SUM(E$99:E111)=D$92,F111,D$92-SUM(E$99:E111))</f>
        <v>197876.5</v>
      </c>
      <c r="E112" s="484">
        <f t="shared" si="19"/>
        <v>7407</v>
      </c>
      <c r="F112" s="485">
        <f t="shared" si="20"/>
        <v>190469.5</v>
      </c>
      <c r="G112" s="485">
        <f t="shared" si="21"/>
        <v>194173</v>
      </c>
      <c r="H112" s="486">
        <f t="shared" si="22"/>
        <v>28801.496256823546</v>
      </c>
      <c r="I112" s="542">
        <f t="shared" si="23"/>
        <v>28801.496256823546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2032</v>
      </c>
      <c r="D113" s="347">
        <f>IF(F112+SUM(E$99:E112)=D$92,F112,D$92-SUM(E$99:E112))</f>
        <v>190469.5</v>
      </c>
      <c r="E113" s="484">
        <f t="shared" si="19"/>
        <v>7407</v>
      </c>
      <c r="F113" s="485">
        <f t="shared" si="20"/>
        <v>183062.5</v>
      </c>
      <c r="G113" s="485">
        <f t="shared" si="21"/>
        <v>186766</v>
      </c>
      <c r="H113" s="486">
        <f t="shared" si="22"/>
        <v>27985.373346973607</v>
      </c>
      <c r="I113" s="542">
        <f t="shared" si="23"/>
        <v>27985.373346973607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2033</v>
      </c>
      <c r="D114" s="347">
        <f>IF(F113+SUM(E$99:E113)=D$92,F113,D$92-SUM(E$99:E113))</f>
        <v>183062.5</v>
      </c>
      <c r="E114" s="484">
        <f t="shared" si="19"/>
        <v>7407</v>
      </c>
      <c r="F114" s="485">
        <f t="shared" si="20"/>
        <v>175655.5</v>
      </c>
      <c r="G114" s="485">
        <f t="shared" si="21"/>
        <v>179359</v>
      </c>
      <c r="H114" s="486">
        <f t="shared" si="22"/>
        <v>27169.250437123668</v>
      </c>
      <c r="I114" s="542">
        <f t="shared" si="23"/>
        <v>27169.250437123668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2034</v>
      </c>
      <c r="D115" s="347">
        <f>IF(F114+SUM(E$99:E114)=D$92,F114,D$92-SUM(E$99:E114))</f>
        <v>175655.5</v>
      </c>
      <c r="E115" s="484">
        <f t="shared" si="19"/>
        <v>7407</v>
      </c>
      <c r="F115" s="485">
        <f t="shared" si="20"/>
        <v>168248.5</v>
      </c>
      <c r="G115" s="485">
        <f t="shared" si="21"/>
        <v>171952</v>
      </c>
      <c r="H115" s="486">
        <f t="shared" si="22"/>
        <v>26353.127527273729</v>
      </c>
      <c r="I115" s="542">
        <f t="shared" si="23"/>
        <v>26353.127527273729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2035</v>
      </c>
      <c r="D116" s="347">
        <f>IF(F115+SUM(E$99:E115)=D$92,F115,D$92-SUM(E$99:E115))</f>
        <v>168248.5</v>
      </c>
      <c r="E116" s="484">
        <f t="shared" si="19"/>
        <v>7407</v>
      </c>
      <c r="F116" s="485">
        <f t="shared" si="20"/>
        <v>160841.5</v>
      </c>
      <c r="G116" s="485">
        <f t="shared" si="21"/>
        <v>164545</v>
      </c>
      <c r="H116" s="486">
        <f t="shared" si="22"/>
        <v>25537.004617423794</v>
      </c>
      <c r="I116" s="542">
        <f t="shared" si="23"/>
        <v>25537.004617423794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2036</v>
      </c>
      <c r="D117" s="347">
        <f>IF(F116+SUM(E$99:E116)=D$92,F116,D$92-SUM(E$99:E116))</f>
        <v>160841.5</v>
      </c>
      <c r="E117" s="484">
        <f t="shared" si="19"/>
        <v>7407</v>
      </c>
      <c r="F117" s="485">
        <f t="shared" si="20"/>
        <v>153434.5</v>
      </c>
      <c r="G117" s="485">
        <f t="shared" si="21"/>
        <v>157138</v>
      </c>
      <c r="H117" s="486">
        <f t="shared" si="22"/>
        <v>24720.881707573855</v>
      </c>
      <c r="I117" s="542">
        <f t="shared" si="23"/>
        <v>24720.881707573855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2037</v>
      </c>
      <c r="D118" s="347">
        <f>IF(F117+SUM(E$99:E117)=D$92,F117,D$92-SUM(E$99:E117))</f>
        <v>153434.5</v>
      </c>
      <c r="E118" s="484">
        <f t="shared" si="19"/>
        <v>7407</v>
      </c>
      <c r="F118" s="485">
        <f t="shared" si="20"/>
        <v>146027.5</v>
      </c>
      <c r="G118" s="485">
        <f t="shared" si="21"/>
        <v>149731</v>
      </c>
      <c r="H118" s="486">
        <f t="shared" si="22"/>
        <v>23904.758797723916</v>
      </c>
      <c r="I118" s="542">
        <f t="shared" si="23"/>
        <v>23904.758797723916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2038</v>
      </c>
      <c r="D119" s="347">
        <f>IF(F118+SUM(E$99:E118)=D$92,F118,D$92-SUM(E$99:E118))</f>
        <v>146027.5</v>
      </c>
      <c r="E119" s="484">
        <f t="shared" si="19"/>
        <v>7407</v>
      </c>
      <c r="F119" s="485">
        <f t="shared" si="20"/>
        <v>138620.5</v>
      </c>
      <c r="G119" s="485">
        <f t="shared" si="21"/>
        <v>142324</v>
      </c>
      <c r="H119" s="486">
        <f t="shared" si="22"/>
        <v>23088.635887873977</v>
      </c>
      <c r="I119" s="542">
        <f t="shared" si="23"/>
        <v>23088.635887873977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2039</v>
      </c>
      <c r="D120" s="347">
        <f>IF(F119+SUM(E$99:E119)=D$92,F119,D$92-SUM(E$99:E119))</f>
        <v>138620.5</v>
      </c>
      <c r="E120" s="484">
        <f t="shared" si="19"/>
        <v>7407</v>
      </c>
      <c r="F120" s="485">
        <f t="shared" si="20"/>
        <v>131213.5</v>
      </c>
      <c r="G120" s="485">
        <f t="shared" si="21"/>
        <v>134917</v>
      </c>
      <c r="H120" s="486">
        <f t="shared" si="22"/>
        <v>22272.512978024042</v>
      </c>
      <c r="I120" s="542">
        <f t="shared" si="23"/>
        <v>22272.512978024042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2040</v>
      </c>
      <c r="D121" s="347">
        <f>IF(F120+SUM(E$99:E120)=D$92,F120,D$92-SUM(E$99:E120))</f>
        <v>131213.5</v>
      </c>
      <c r="E121" s="484">
        <f t="shared" si="19"/>
        <v>7407</v>
      </c>
      <c r="F121" s="485">
        <f t="shared" si="20"/>
        <v>123806.5</v>
      </c>
      <c r="G121" s="485">
        <f t="shared" si="21"/>
        <v>127510</v>
      </c>
      <c r="H121" s="486">
        <f t="shared" si="22"/>
        <v>21456.390068174103</v>
      </c>
      <c r="I121" s="542">
        <f t="shared" si="23"/>
        <v>21456.390068174103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2041</v>
      </c>
      <c r="D122" s="347">
        <f>IF(F121+SUM(E$99:E121)=D$92,F121,D$92-SUM(E$99:E121))</f>
        <v>123806.5</v>
      </c>
      <c r="E122" s="484">
        <f t="shared" si="19"/>
        <v>7407</v>
      </c>
      <c r="F122" s="485">
        <f t="shared" si="20"/>
        <v>116399.5</v>
      </c>
      <c r="G122" s="485">
        <f t="shared" si="21"/>
        <v>120103</v>
      </c>
      <c r="H122" s="486">
        <f t="shared" si="22"/>
        <v>20640.267158324168</v>
      </c>
      <c r="I122" s="542">
        <f t="shared" si="23"/>
        <v>20640.267158324168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2042</v>
      </c>
      <c r="D123" s="347">
        <f>IF(F122+SUM(E$99:E122)=D$92,F122,D$92-SUM(E$99:E122))</f>
        <v>116399.5</v>
      </c>
      <c r="E123" s="484">
        <f t="shared" si="19"/>
        <v>7407</v>
      </c>
      <c r="F123" s="485">
        <f t="shared" si="20"/>
        <v>108992.5</v>
      </c>
      <c r="G123" s="485">
        <f t="shared" si="21"/>
        <v>112696</v>
      </c>
      <c r="H123" s="486">
        <f t="shared" si="22"/>
        <v>19824.144248474229</v>
      </c>
      <c r="I123" s="542">
        <f t="shared" si="23"/>
        <v>19824.144248474229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2043</v>
      </c>
      <c r="D124" s="347">
        <f>IF(F123+SUM(E$99:E123)=D$92,F123,D$92-SUM(E$99:E123))</f>
        <v>108992.5</v>
      </c>
      <c r="E124" s="484">
        <f t="shared" si="19"/>
        <v>7407</v>
      </c>
      <c r="F124" s="485">
        <f t="shared" si="20"/>
        <v>101585.5</v>
      </c>
      <c r="G124" s="485">
        <f t="shared" si="21"/>
        <v>105289</v>
      </c>
      <c r="H124" s="486">
        <f t="shared" si="22"/>
        <v>19008.02133862429</v>
      </c>
      <c r="I124" s="542">
        <f t="shared" si="23"/>
        <v>19008.02133862429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2044</v>
      </c>
      <c r="D125" s="347">
        <f>IF(F124+SUM(E$99:E124)=D$92,F124,D$92-SUM(E$99:E124))</f>
        <v>101585.5</v>
      </c>
      <c r="E125" s="484">
        <f t="shared" si="19"/>
        <v>7407</v>
      </c>
      <c r="F125" s="485">
        <f t="shared" si="20"/>
        <v>94178.5</v>
      </c>
      <c r="G125" s="485">
        <f t="shared" si="21"/>
        <v>97882</v>
      </c>
      <c r="H125" s="486">
        <f t="shared" si="22"/>
        <v>18191.898428774351</v>
      </c>
      <c r="I125" s="542">
        <f t="shared" si="23"/>
        <v>18191.898428774351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2045</v>
      </c>
      <c r="D126" s="347">
        <f>IF(F125+SUM(E$99:E125)=D$92,F125,D$92-SUM(E$99:E125))</f>
        <v>94178.5</v>
      </c>
      <c r="E126" s="484">
        <f t="shared" si="19"/>
        <v>7407</v>
      </c>
      <c r="F126" s="485">
        <f t="shared" si="20"/>
        <v>86771.5</v>
      </c>
      <c r="G126" s="485">
        <f t="shared" si="21"/>
        <v>90475</v>
      </c>
      <c r="H126" s="486">
        <f t="shared" si="22"/>
        <v>17375.775518924413</v>
      </c>
      <c r="I126" s="542">
        <f t="shared" si="23"/>
        <v>17375.775518924413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2046</v>
      </c>
      <c r="D127" s="347">
        <f>IF(F126+SUM(E$99:E126)=D$92,F126,D$92-SUM(E$99:E126))</f>
        <v>86771.5</v>
      </c>
      <c r="E127" s="484">
        <f t="shared" si="19"/>
        <v>7407</v>
      </c>
      <c r="F127" s="485">
        <f t="shared" si="20"/>
        <v>79364.5</v>
      </c>
      <c r="G127" s="485">
        <f t="shared" si="21"/>
        <v>83068</v>
      </c>
      <c r="H127" s="486">
        <f t="shared" si="22"/>
        <v>16559.652609074474</v>
      </c>
      <c r="I127" s="542">
        <f t="shared" si="23"/>
        <v>16559.652609074474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2047</v>
      </c>
      <c r="D128" s="347">
        <f>IF(F127+SUM(E$99:E127)=D$92,F127,D$92-SUM(E$99:E127))</f>
        <v>79364.5</v>
      </c>
      <c r="E128" s="484">
        <f t="shared" si="19"/>
        <v>7407</v>
      </c>
      <c r="F128" s="485">
        <f t="shared" si="20"/>
        <v>71957.5</v>
      </c>
      <c r="G128" s="485">
        <f t="shared" si="21"/>
        <v>75661</v>
      </c>
      <c r="H128" s="486">
        <f t="shared" si="22"/>
        <v>15743.529699224538</v>
      </c>
      <c r="I128" s="542">
        <f t="shared" si="23"/>
        <v>15743.529699224538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2048</v>
      </c>
      <c r="D129" s="347">
        <f>IF(F128+SUM(E$99:E128)=D$92,F128,D$92-SUM(E$99:E128))</f>
        <v>71957.5</v>
      </c>
      <c r="E129" s="484">
        <f t="shared" si="19"/>
        <v>7407</v>
      </c>
      <c r="F129" s="485">
        <f t="shared" si="20"/>
        <v>64550.5</v>
      </c>
      <c r="G129" s="485">
        <f t="shared" si="21"/>
        <v>68254</v>
      </c>
      <c r="H129" s="486">
        <f t="shared" si="22"/>
        <v>14927.4067893746</v>
      </c>
      <c r="I129" s="542">
        <f t="shared" si="23"/>
        <v>14927.4067893746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2049</v>
      </c>
      <c r="D130" s="347">
        <f>IF(F129+SUM(E$99:E129)=D$92,F129,D$92-SUM(E$99:E129))</f>
        <v>64550.5</v>
      </c>
      <c r="E130" s="484">
        <f t="shared" si="19"/>
        <v>7407</v>
      </c>
      <c r="F130" s="485">
        <f t="shared" si="20"/>
        <v>57143.5</v>
      </c>
      <c r="G130" s="485">
        <f t="shared" si="21"/>
        <v>60847</v>
      </c>
      <c r="H130" s="486">
        <f t="shared" si="22"/>
        <v>14111.283879524663</v>
      </c>
      <c r="I130" s="542">
        <f t="shared" si="23"/>
        <v>14111.283879524663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2050</v>
      </c>
      <c r="D131" s="347">
        <f>IF(F130+SUM(E$99:E130)=D$92,F130,D$92-SUM(E$99:E130))</f>
        <v>57143.5</v>
      </c>
      <c r="E131" s="484">
        <f t="shared" si="19"/>
        <v>7407</v>
      </c>
      <c r="F131" s="485">
        <f t="shared" si="20"/>
        <v>49736.5</v>
      </c>
      <c r="G131" s="485">
        <f t="shared" si="21"/>
        <v>53440</v>
      </c>
      <c r="H131" s="486">
        <f t="shared" si="22"/>
        <v>13295.160969674725</v>
      </c>
      <c r="I131" s="542">
        <f t="shared" si="23"/>
        <v>13295.160969674725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>
      <c r="B132" s="160" t="str">
        <f t="shared" si="18"/>
        <v/>
      </c>
      <c r="C132" s="472">
        <f>IF(D93="","-",+C131+1)</f>
        <v>2051</v>
      </c>
      <c r="D132" s="347">
        <f>IF(F131+SUM(E$99:E131)=D$92,F131,D$92-SUM(E$99:E131))</f>
        <v>49736.5</v>
      </c>
      <c r="E132" s="484">
        <f t="shared" si="19"/>
        <v>7407</v>
      </c>
      <c r="F132" s="485">
        <f t="shared" si="20"/>
        <v>42329.5</v>
      </c>
      <c r="G132" s="485">
        <f t="shared" si="21"/>
        <v>46033</v>
      </c>
      <c r="H132" s="486">
        <f t="shared" si="22"/>
        <v>12479.038059824787</v>
      </c>
      <c r="I132" s="542">
        <f t="shared" si="23"/>
        <v>12479.038059824787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>
      <c r="B133" s="160" t="str">
        <f t="shared" si="18"/>
        <v/>
      </c>
      <c r="C133" s="472">
        <f>IF(D93="","-",+C132+1)</f>
        <v>2052</v>
      </c>
      <c r="D133" s="347">
        <f>IF(F132+SUM(E$99:E132)=D$92,F132,D$92-SUM(E$99:E132))</f>
        <v>42329.5</v>
      </c>
      <c r="E133" s="484">
        <f t="shared" si="19"/>
        <v>7407</v>
      </c>
      <c r="F133" s="485">
        <f t="shared" si="20"/>
        <v>34922.5</v>
      </c>
      <c r="G133" s="485">
        <f t="shared" si="21"/>
        <v>38626</v>
      </c>
      <c r="H133" s="486">
        <f t="shared" si="22"/>
        <v>11662.915149974848</v>
      </c>
      <c r="I133" s="542">
        <f t="shared" si="23"/>
        <v>11662.915149974848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>
      <c r="B134" s="160" t="str">
        <f t="shared" si="18"/>
        <v/>
      </c>
      <c r="C134" s="472">
        <f>IF(D93="","-",+C133+1)</f>
        <v>2053</v>
      </c>
      <c r="D134" s="347">
        <f>IF(F133+SUM(E$99:E133)=D$92,F133,D$92-SUM(E$99:E133))</f>
        <v>34922.5</v>
      </c>
      <c r="E134" s="484">
        <f t="shared" si="19"/>
        <v>7407</v>
      </c>
      <c r="F134" s="485">
        <f t="shared" si="20"/>
        <v>27515.5</v>
      </c>
      <c r="G134" s="485">
        <f t="shared" si="21"/>
        <v>31219</v>
      </c>
      <c r="H134" s="486">
        <f t="shared" si="22"/>
        <v>10846.792240124911</v>
      </c>
      <c r="I134" s="542">
        <f t="shared" si="23"/>
        <v>10846.792240124911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>
      <c r="B135" s="160" t="str">
        <f t="shared" si="18"/>
        <v/>
      </c>
      <c r="C135" s="472">
        <f>IF(D93="","-",+C134+1)</f>
        <v>2054</v>
      </c>
      <c r="D135" s="347">
        <f>IF(F134+SUM(E$99:E134)=D$92,F134,D$92-SUM(E$99:E134))</f>
        <v>27515.5</v>
      </c>
      <c r="E135" s="484">
        <f t="shared" si="19"/>
        <v>7407</v>
      </c>
      <c r="F135" s="485">
        <f t="shared" si="20"/>
        <v>20108.5</v>
      </c>
      <c r="G135" s="485">
        <f t="shared" si="21"/>
        <v>23812</v>
      </c>
      <c r="H135" s="486">
        <f t="shared" si="22"/>
        <v>10030.669330274974</v>
      </c>
      <c r="I135" s="542">
        <f t="shared" si="23"/>
        <v>10030.669330274974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>
      <c r="B136" s="160" t="str">
        <f t="shared" si="18"/>
        <v/>
      </c>
      <c r="C136" s="472">
        <f>IF(D93="","-",+C135+1)</f>
        <v>2055</v>
      </c>
      <c r="D136" s="347">
        <f>IF(F135+SUM(E$99:E135)=D$92,F135,D$92-SUM(E$99:E135))</f>
        <v>20108.5</v>
      </c>
      <c r="E136" s="484">
        <f t="shared" si="19"/>
        <v>7407</v>
      </c>
      <c r="F136" s="485">
        <f t="shared" si="20"/>
        <v>12701.5</v>
      </c>
      <c r="G136" s="485">
        <f t="shared" si="21"/>
        <v>16405</v>
      </c>
      <c r="H136" s="486">
        <f t="shared" si="22"/>
        <v>9214.5464204250347</v>
      </c>
      <c r="I136" s="542">
        <f t="shared" si="23"/>
        <v>9214.5464204250347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>
      <c r="B137" s="160" t="str">
        <f t="shared" si="18"/>
        <v/>
      </c>
      <c r="C137" s="472">
        <f>IF(D93="","-",+C136+1)</f>
        <v>2056</v>
      </c>
      <c r="D137" s="347">
        <f>IF(F136+SUM(E$99:E136)=D$92,F136,D$92-SUM(E$99:E136))</f>
        <v>12701.5</v>
      </c>
      <c r="E137" s="484">
        <f t="shared" si="19"/>
        <v>7407</v>
      </c>
      <c r="F137" s="485">
        <f t="shared" si="20"/>
        <v>5294.5</v>
      </c>
      <c r="G137" s="485">
        <f t="shared" si="21"/>
        <v>8998</v>
      </c>
      <c r="H137" s="486">
        <f t="shared" si="22"/>
        <v>8398.4235105750959</v>
      </c>
      <c r="I137" s="542">
        <f t="shared" si="23"/>
        <v>8398.4235105750959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>
      <c r="B138" s="160" t="str">
        <f t="shared" si="18"/>
        <v/>
      </c>
      <c r="C138" s="472">
        <f>IF(D93="","-",+C137+1)</f>
        <v>2057</v>
      </c>
      <c r="D138" s="347">
        <f>IF(F137+SUM(E$99:E137)=D$92,F137,D$92-SUM(E$99:E137))</f>
        <v>5294.5</v>
      </c>
      <c r="E138" s="484">
        <f t="shared" si="19"/>
        <v>5294.5</v>
      </c>
      <c r="F138" s="485">
        <f t="shared" si="20"/>
        <v>0</v>
      </c>
      <c r="G138" s="485">
        <f t="shared" si="21"/>
        <v>2647.25</v>
      </c>
      <c r="H138" s="486">
        <f t="shared" si="22"/>
        <v>5586.1810278250641</v>
      </c>
      <c r="I138" s="542">
        <f t="shared" si="23"/>
        <v>5586.1810278250641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>
      <c r="B139" s="160" t="str">
        <f t="shared" si="18"/>
        <v/>
      </c>
      <c r="C139" s="472">
        <f>IF(D93="","-",+C138+1)</f>
        <v>2058</v>
      </c>
      <c r="D139" s="347">
        <f>IF(F138+SUM(E$99:E138)=D$92,F138,D$92-SUM(E$99:E138))</f>
        <v>0</v>
      </c>
      <c r="E139" s="484">
        <f t="shared" si="19"/>
        <v>0</v>
      </c>
      <c r="F139" s="485">
        <f t="shared" si="20"/>
        <v>0</v>
      </c>
      <c r="G139" s="485">
        <f t="shared" si="21"/>
        <v>0</v>
      </c>
      <c r="H139" s="486">
        <f t="shared" si="22"/>
        <v>0</v>
      </c>
      <c r="I139" s="542">
        <f t="shared" si="23"/>
        <v>0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>
      <c r="B140" s="160" t="str">
        <f t="shared" si="18"/>
        <v/>
      </c>
      <c r="C140" s="472">
        <f>IF(D93="","-",+C139+1)</f>
        <v>2059</v>
      </c>
      <c r="D140" s="347">
        <f>IF(F139+SUM(E$99:E139)=D$92,F139,D$92-SUM(E$99:E139))</f>
        <v>0</v>
      </c>
      <c r="E140" s="484">
        <f t="shared" si="19"/>
        <v>0</v>
      </c>
      <c r="F140" s="485">
        <f t="shared" si="20"/>
        <v>0</v>
      </c>
      <c r="G140" s="485">
        <f t="shared" si="21"/>
        <v>0</v>
      </c>
      <c r="H140" s="486">
        <f t="shared" si="22"/>
        <v>0</v>
      </c>
      <c r="I140" s="542">
        <f t="shared" si="23"/>
        <v>0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>
      <c r="B141" s="160" t="str">
        <f t="shared" si="18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486">
        <f t="shared" si="22"/>
        <v>0</v>
      </c>
      <c r="I141" s="542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>
      <c r="B142" s="160" t="str">
        <f t="shared" si="18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486">
        <f t="shared" si="22"/>
        <v>0</v>
      </c>
      <c r="I142" s="542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>
      <c r="B143" s="160" t="str">
        <f t="shared" si="18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486">
        <f t="shared" si="22"/>
        <v>0</v>
      </c>
      <c r="I143" s="542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>
      <c r="B144" s="160" t="str">
        <f t="shared" si="18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486">
        <f t="shared" si="22"/>
        <v>0</v>
      </c>
      <c r="I144" s="542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>
      <c r="B145" s="160" t="str">
        <f t="shared" si="18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486">
        <f t="shared" si="22"/>
        <v>0</v>
      </c>
      <c r="I145" s="542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>
      <c r="B146" s="160" t="str">
        <f t="shared" si="18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486">
        <f t="shared" si="22"/>
        <v>0</v>
      </c>
      <c r="I146" s="542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>
      <c r="B147" s="160" t="str">
        <f t="shared" si="18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486">
        <f t="shared" si="22"/>
        <v>0</v>
      </c>
      <c r="I147" s="542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>
      <c r="B148" s="160" t="str">
        <f t="shared" si="18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486">
        <f t="shared" si="22"/>
        <v>0</v>
      </c>
      <c r="I148" s="542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>
      <c r="B149" s="160" t="str">
        <f t="shared" si="18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486">
        <f t="shared" si="22"/>
        <v>0</v>
      </c>
      <c r="I149" s="542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>
      <c r="B150" s="160" t="str">
        <f t="shared" si="18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486">
        <f t="shared" si="22"/>
        <v>0</v>
      </c>
      <c r="I150" s="542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>
      <c r="B151" s="160" t="str">
        <f t="shared" si="18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486">
        <f t="shared" si="22"/>
        <v>0</v>
      </c>
      <c r="I151" s="542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>
      <c r="B152" s="160" t="str">
        <f t="shared" si="18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486">
        <f t="shared" si="22"/>
        <v>0</v>
      </c>
      <c r="I152" s="542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>
      <c r="B153" s="160" t="str">
        <f t="shared" si="18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486">
        <f t="shared" si="22"/>
        <v>0</v>
      </c>
      <c r="I153" s="542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.5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3">
        <f t="shared" ref="H154" si="29">+J$94*G154+E154</f>
        <v>0</v>
      </c>
      <c r="I154" s="614">
        <f t="shared" ref="I154" si="30">+J$95*G154+E154</f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>
      <c r="C155" s="347" t="s">
        <v>77</v>
      </c>
      <c r="D155" s="348"/>
      <c r="E155" s="348">
        <f>SUM(E99:E154)</f>
        <v>288860</v>
      </c>
      <c r="F155" s="348"/>
      <c r="G155" s="348"/>
      <c r="H155" s="348">
        <f>SUM(H99:H154)</f>
        <v>916045.24967391242</v>
      </c>
      <c r="I155" s="348">
        <f>SUM(I99:I154)</f>
        <v>916045.24967391242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2"/>
  <sheetViews>
    <sheetView zoomScale="86" zoomScaleNormal="86" workbookViewId="0">
      <selection activeCell="D92" sqref="D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26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1019988.1643084703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1019988.1643084703</v>
      </c>
      <c r="O6" s="233"/>
      <c r="P6" s="233"/>
    </row>
    <row r="7" spans="1:16" ht="13.5" thickBot="1">
      <c r="C7" s="431" t="s">
        <v>46</v>
      </c>
      <c r="D7" s="104" t="s">
        <v>329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331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8147277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193982.78571428571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2019</v>
      </c>
      <c r="D17" s="584">
        <v>0</v>
      </c>
      <c r="E17" s="608">
        <v>0</v>
      </c>
      <c r="F17" s="584">
        <v>5024000</v>
      </c>
      <c r="G17" s="608">
        <v>280481.45781944925</v>
      </c>
      <c r="H17" s="587">
        <v>280481.45781944925</v>
      </c>
      <c r="I17" s="475">
        <f>H17-G17</f>
        <v>0</v>
      </c>
      <c r="J17" s="475"/>
      <c r="K17" s="554">
        <f>+G17</f>
        <v>280481.45781944925</v>
      </c>
      <c r="L17" s="477">
        <f t="shared" ref="L17:L18" si="0">IF(K17&lt;&gt;0,+G17-K17,0)</f>
        <v>0</v>
      </c>
      <c r="M17" s="554">
        <f>+H17</f>
        <v>280481.45781944925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2020</v>
      </c>
      <c r="D18" s="584">
        <v>7156000</v>
      </c>
      <c r="E18" s="585">
        <v>170380.95238095237</v>
      </c>
      <c r="F18" s="584">
        <v>6985619.0476190476</v>
      </c>
      <c r="G18" s="585">
        <v>934062.15757277235</v>
      </c>
      <c r="H18" s="587">
        <v>934062.15757277235</v>
      </c>
      <c r="I18" s="475">
        <f>H18-G18</f>
        <v>0</v>
      </c>
      <c r="J18" s="475"/>
      <c r="K18" s="478">
        <f>+G18</f>
        <v>934062.15757277235</v>
      </c>
      <c r="L18" s="478">
        <f t="shared" si="0"/>
        <v>0</v>
      </c>
      <c r="M18" s="478">
        <f>+H18</f>
        <v>934062.15757277235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2021</v>
      </c>
      <c r="D19" s="584">
        <v>9239264.0476190485</v>
      </c>
      <c r="E19" s="585">
        <v>218828.95348837209</v>
      </c>
      <c r="F19" s="584">
        <v>9020435.0941306762</v>
      </c>
      <c r="G19" s="585">
        <v>1203224.4158022963</v>
      </c>
      <c r="H19" s="587">
        <v>1203224.4158022963</v>
      </c>
      <c r="I19" s="475">
        <f t="shared" ref="I19:I71" si="3">H19-G19</f>
        <v>0</v>
      </c>
      <c r="J19" s="475"/>
      <c r="K19" s="478">
        <f>+G19</f>
        <v>1203224.4158022963</v>
      </c>
      <c r="L19" s="478">
        <f t="shared" ref="L19" si="4">IF(K19&lt;&gt;0,+G19-K19,0)</f>
        <v>0</v>
      </c>
      <c r="M19" s="478">
        <f>+H19</f>
        <v>1203224.4158022963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584">
        <v>7758491.0941306753</v>
      </c>
      <c r="E20" s="585">
        <v>193992.88095238095</v>
      </c>
      <c r="F20" s="584">
        <v>7564498.2131782947</v>
      </c>
      <c r="G20" s="585">
        <v>1019988.1643084703</v>
      </c>
      <c r="H20" s="587">
        <v>1019988.1643084703</v>
      </c>
      <c r="I20" s="475">
        <f t="shared" si="3"/>
        <v>0</v>
      </c>
      <c r="J20" s="475"/>
      <c r="K20" s="478">
        <f>+G20</f>
        <v>1019988.1643084703</v>
      </c>
      <c r="L20" s="478">
        <f t="shared" ref="L20" si="6">IF(K20&lt;&gt;0,+G20-K20,0)</f>
        <v>0</v>
      </c>
      <c r="M20" s="478">
        <f>+H20</f>
        <v>1019988.1643084703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>IU</v>
      </c>
      <c r="C21" s="472">
        <f>IF(D11="","-",+C20+1)</f>
        <v>2023</v>
      </c>
      <c r="D21" s="483">
        <f>IF(F20+SUM(E$17:E20)=D$10,F20,D$10-SUM(E$17:E20))</f>
        <v>7564074.2131782947</v>
      </c>
      <c r="E21" s="484">
        <f t="shared" ref="E21:E71" si="7">IF(+I$14&lt;F20,I$14,D21)</f>
        <v>193982.78571428571</v>
      </c>
      <c r="F21" s="485">
        <f t="shared" ref="F21:F71" si="8">+D21-E21</f>
        <v>7370091.4274640093</v>
      </c>
      <c r="G21" s="486">
        <f t="shared" ref="G21:G71" si="9">(D21+F21)/2*I$12+E21</f>
        <v>999018.28711903654</v>
      </c>
      <c r="H21" s="455">
        <f t="shared" ref="H21:H71" si="10">+(D21+F21)/2*I$13+E21</f>
        <v>999018.28711903654</v>
      </c>
      <c r="I21" s="475">
        <f t="shared" si="3"/>
        <v>0</v>
      </c>
      <c r="J21" s="475"/>
      <c r="K21" s="487"/>
      <c r="L21" s="478">
        <f t="shared" ref="L21:L72" si="11">IF(K21&lt;&gt;0,+G21-K21,0)</f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7370091.4274640093</v>
      </c>
      <c r="E22" s="484">
        <f t="shared" si="7"/>
        <v>193982.78571428571</v>
      </c>
      <c r="F22" s="485">
        <f t="shared" si="8"/>
        <v>7176108.6417497238</v>
      </c>
      <c r="G22" s="486">
        <f t="shared" si="9"/>
        <v>978104.76132601826</v>
      </c>
      <c r="H22" s="455">
        <f t="shared" si="10"/>
        <v>978104.76132601826</v>
      </c>
      <c r="I22" s="475">
        <f t="shared" si="3"/>
        <v>0</v>
      </c>
      <c r="J22" s="475"/>
      <c r="K22" s="487"/>
      <c r="L22" s="478">
        <f t="shared" si="11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7176108.6417497238</v>
      </c>
      <c r="E23" s="484">
        <f t="shared" si="7"/>
        <v>193982.78571428571</v>
      </c>
      <c r="F23" s="485">
        <f t="shared" si="8"/>
        <v>6982125.8560354384</v>
      </c>
      <c r="G23" s="486">
        <f t="shared" si="9"/>
        <v>957191.23553299997</v>
      </c>
      <c r="H23" s="455">
        <f t="shared" si="10"/>
        <v>957191.23553299997</v>
      </c>
      <c r="I23" s="475">
        <f t="shared" si="3"/>
        <v>0</v>
      </c>
      <c r="J23" s="475"/>
      <c r="K23" s="487"/>
      <c r="L23" s="478">
        <f t="shared" si="11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6982125.8560354384</v>
      </c>
      <c r="E24" s="484">
        <f t="shared" si="7"/>
        <v>193982.78571428571</v>
      </c>
      <c r="F24" s="485">
        <f t="shared" si="8"/>
        <v>6788143.0703211529</v>
      </c>
      <c r="G24" s="486">
        <f t="shared" si="9"/>
        <v>936277.70973998168</v>
      </c>
      <c r="H24" s="455">
        <f t="shared" si="10"/>
        <v>936277.70973998168</v>
      </c>
      <c r="I24" s="475">
        <f t="shared" si="3"/>
        <v>0</v>
      </c>
      <c r="J24" s="475"/>
      <c r="K24" s="487"/>
      <c r="L24" s="478">
        <f t="shared" si="11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6788143.0703211529</v>
      </c>
      <c r="E25" s="484">
        <f t="shared" si="7"/>
        <v>193982.78571428571</v>
      </c>
      <c r="F25" s="485">
        <f t="shared" si="8"/>
        <v>6594160.2846068675</v>
      </c>
      <c r="G25" s="486">
        <f t="shared" si="9"/>
        <v>915364.1839469634</v>
      </c>
      <c r="H25" s="455">
        <f t="shared" si="10"/>
        <v>915364.1839469634</v>
      </c>
      <c r="I25" s="475">
        <f t="shared" si="3"/>
        <v>0</v>
      </c>
      <c r="J25" s="475"/>
      <c r="K25" s="487"/>
      <c r="L25" s="478">
        <f t="shared" si="11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6594160.2846068675</v>
      </c>
      <c r="E26" s="484">
        <f t="shared" si="7"/>
        <v>193982.78571428571</v>
      </c>
      <c r="F26" s="485">
        <f t="shared" si="8"/>
        <v>6400177.498892582</v>
      </c>
      <c r="G26" s="486">
        <f t="shared" si="9"/>
        <v>894450.65815394511</v>
      </c>
      <c r="H26" s="455">
        <f t="shared" si="10"/>
        <v>894450.65815394511</v>
      </c>
      <c r="I26" s="475">
        <f t="shared" si="3"/>
        <v>0</v>
      </c>
      <c r="J26" s="475"/>
      <c r="K26" s="487"/>
      <c r="L26" s="478">
        <f t="shared" si="11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6400177.498892582</v>
      </c>
      <c r="E27" s="484">
        <f t="shared" si="7"/>
        <v>193982.78571428571</v>
      </c>
      <c r="F27" s="485">
        <f t="shared" si="8"/>
        <v>6206194.7131782966</v>
      </c>
      <c r="G27" s="486">
        <f t="shared" si="9"/>
        <v>873537.13236092683</v>
      </c>
      <c r="H27" s="455">
        <f t="shared" si="10"/>
        <v>873537.13236092683</v>
      </c>
      <c r="I27" s="475">
        <f t="shared" si="3"/>
        <v>0</v>
      </c>
      <c r="J27" s="475"/>
      <c r="K27" s="487"/>
      <c r="L27" s="478">
        <f t="shared" si="11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6206194.7131782966</v>
      </c>
      <c r="E28" s="484">
        <f t="shared" si="7"/>
        <v>193982.78571428571</v>
      </c>
      <c r="F28" s="485">
        <f t="shared" si="8"/>
        <v>6012211.9274640111</v>
      </c>
      <c r="G28" s="486">
        <f t="shared" si="9"/>
        <v>852623.60656790854</v>
      </c>
      <c r="H28" s="455">
        <f t="shared" si="10"/>
        <v>852623.60656790854</v>
      </c>
      <c r="I28" s="475">
        <f t="shared" si="3"/>
        <v>0</v>
      </c>
      <c r="J28" s="475"/>
      <c r="K28" s="487"/>
      <c r="L28" s="478">
        <f t="shared" si="11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6012211.9274640111</v>
      </c>
      <c r="E29" s="484">
        <f t="shared" si="7"/>
        <v>193982.78571428571</v>
      </c>
      <c r="F29" s="485">
        <f t="shared" si="8"/>
        <v>5818229.1417497257</v>
      </c>
      <c r="G29" s="486">
        <f t="shared" si="9"/>
        <v>831710.08077489026</v>
      </c>
      <c r="H29" s="455">
        <f t="shared" si="10"/>
        <v>831710.08077489026</v>
      </c>
      <c r="I29" s="475">
        <f t="shared" si="3"/>
        <v>0</v>
      </c>
      <c r="J29" s="475"/>
      <c r="K29" s="487"/>
      <c r="L29" s="478">
        <f t="shared" si="11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5818229.1417497257</v>
      </c>
      <c r="E30" s="484">
        <f t="shared" si="7"/>
        <v>193982.78571428571</v>
      </c>
      <c r="F30" s="485">
        <f t="shared" si="8"/>
        <v>5624246.3560354402</v>
      </c>
      <c r="G30" s="486">
        <f t="shared" si="9"/>
        <v>810796.55498187197</v>
      </c>
      <c r="H30" s="455">
        <f t="shared" si="10"/>
        <v>810796.55498187197</v>
      </c>
      <c r="I30" s="475">
        <f t="shared" si="3"/>
        <v>0</v>
      </c>
      <c r="J30" s="475"/>
      <c r="K30" s="487"/>
      <c r="L30" s="478">
        <f t="shared" si="11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5624246.3560354402</v>
      </c>
      <c r="E31" s="484">
        <f t="shared" si="7"/>
        <v>193982.78571428571</v>
      </c>
      <c r="F31" s="485">
        <f t="shared" si="8"/>
        <v>5430263.5703211548</v>
      </c>
      <c r="G31" s="486">
        <f t="shared" si="9"/>
        <v>789883.02918885369</v>
      </c>
      <c r="H31" s="455">
        <f t="shared" si="10"/>
        <v>789883.02918885369</v>
      </c>
      <c r="I31" s="475">
        <f t="shared" si="3"/>
        <v>0</v>
      </c>
      <c r="J31" s="475"/>
      <c r="K31" s="487"/>
      <c r="L31" s="478">
        <f t="shared" si="11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5430263.5703211548</v>
      </c>
      <c r="E32" s="484">
        <f t="shared" si="7"/>
        <v>193982.78571428571</v>
      </c>
      <c r="F32" s="485">
        <f t="shared" si="8"/>
        <v>5236280.7846068693</v>
      </c>
      <c r="G32" s="486">
        <f t="shared" si="9"/>
        <v>768969.5033958354</v>
      </c>
      <c r="H32" s="455">
        <f t="shared" si="10"/>
        <v>768969.5033958354</v>
      </c>
      <c r="I32" s="475">
        <f t="shared" si="3"/>
        <v>0</v>
      </c>
      <c r="J32" s="475"/>
      <c r="K32" s="487"/>
      <c r="L32" s="478">
        <f t="shared" si="11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5236280.7846068693</v>
      </c>
      <c r="E33" s="484">
        <f t="shared" si="7"/>
        <v>193982.78571428571</v>
      </c>
      <c r="F33" s="485">
        <f t="shared" si="8"/>
        <v>5042297.9988925839</v>
      </c>
      <c r="G33" s="486">
        <f t="shared" si="9"/>
        <v>748055.97760281712</v>
      </c>
      <c r="H33" s="455">
        <f t="shared" si="10"/>
        <v>748055.97760281712</v>
      </c>
      <c r="I33" s="475">
        <f t="shared" si="3"/>
        <v>0</v>
      </c>
      <c r="J33" s="475"/>
      <c r="K33" s="487"/>
      <c r="L33" s="478">
        <f t="shared" si="11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5042297.9988925839</v>
      </c>
      <c r="E34" s="484">
        <f t="shared" si="7"/>
        <v>193982.78571428571</v>
      </c>
      <c r="F34" s="485">
        <f t="shared" si="8"/>
        <v>4848315.2131782984</v>
      </c>
      <c r="G34" s="486">
        <f t="shared" si="9"/>
        <v>727142.45180979883</v>
      </c>
      <c r="H34" s="455">
        <f t="shared" si="10"/>
        <v>727142.45180979883</v>
      </c>
      <c r="I34" s="475">
        <f t="shared" si="3"/>
        <v>0</v>
      </c>
      <c r="J34" s="475"/>
      <c r="K34" s="487"/>
      <c r="L34" s="478">
        <f t="shared" si="11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>IU</v>
      </c>
      <c r="C35" s="472">
        <f>IF(D11="","-",+C34+1)</f>
        <v>2037</v>
      </c>
      <c r="D35" s="483">
        <f>IF(F34+SUM(E$17:E34)=D$10,F34,D$10-SUM(E$17:E34))</f>
        <v>4848315.2131782938</v>
      </c>
      <c r="E35" s="484">
        <f t="shared" si="7"/>
        <v>193982.78571428571</v>
      </c>
      <c r="F35" s="485">
        <f t="shared" si="8"/>
        <v>4654332.4274640083</v>
      </c>
      <c r="G35" s="486">
        <f t="shared" si="9"/>
        <v>706228.92601678008</v>
      </c>
      <c r="H35" s="455">
        <f t="shared" si="10"/>
        <v>706228.92601678008</v>
      </c>
      <c r="I35" s="475">
        <f t="shared" si="3"/>
        <v>0</v>
      </c>
      <c r="J35" s="475"/>
      <c r="K35" s="487"/>
      <c r="L35" s="478">
        <f t="shared" si="11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4654332.4274640083</v>
      </c>
      <c r="E36" s="484">
        <f t="shared" si="7"/>
        <v>193982.78571428571</v>
      </c>
      <c r="F36" s="485">
        <f t="shared" si="8"/>
        <v>4460349.6417497229</v>
      </c>
      <c r="G36" s="486">
        <f t="shared" si="9"/>
        <v>685315.4002237618</v>
      </c>
      <c r="H36" s="455">
        <f t="shared" si="10"/>
        <v>685315.4002237618</v>
      </c>
      <c r="I36" s="475">
        <f t="shared" si="3"/>
        <v>0</v>
      </c>
      <c r="J36" s="475"/>
      <c r="K36" s="487"/>
      <c r="L36" s="478">
        <f t="shared" si="11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4460349.6417497229</v>
      </c>
      <c r="E37" s="484">
        <f t="shared" si="7"/>
        <v>193982.78571428571</v>
      </c>
      <c r="F37" s="485">
        <f t="shared" si="8"/>
        <v>4266366.8560354374</v>
      </c>
      <c r="G37" s="486">
        <f t="shared" si="9"/>
        <v>664401.87443074351</v>
      </c>
      <c r="H37" s="455">
        <f t="shared" si="10"/>
        <v>664401.87443074351</v>
      </c>
      <c r="I37" s="475">
        <f t="shared" si="3"/>
        <v>0</v>
      </c>
      <c r="J37" s="475"/>
      <c r="K37" s="487"/>
      <c r="L37" s="478">
        <f t="shared" si="11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4266366.8560354374</v>
      </c>
      <c r="E38" s="484">
        <f t="shared" si="7"/>
        <v>193982.78571428571</v>
      </c>
      <c r="F38" s="485">
        <f t="shared" si="8"/>
        <v>4072384.0703211515</v>
      </c>
      <c r="G38" s="486">
        <f t="shared" si="9"/>
        <v>643488.34863772523</v>
      </c>
      <c r="H38" s="455">
        <f t="shared" si="10"/>
        <v>643488.34863772523</v>
      </c>
      <c r="I38" s="475">
        <f t="shared" si="3"/>
        <v>0</v>
      </c>
      <c r="J38" s="475"/>
      <c r="K38" s="487"/>
      <c r="L38" s="478">
        <f t="shared" si="11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4072384.0703211515</v>
      </c>
      <c r="E39" s="484">
        <f t="shared" si="7"/>
        <v>193982.78571428571</v>
      </c>
      <c r="F39" s="485">
        <f t="shared" si="8"/>
        <v>3878401.2846068656</v>
      </c>
      <c r="G39" s="486">
        <f t="shared" si="9"/>
        <v>622574.82284470682</v>
      </c>
      <c r="H39" s="455">
        <f t="shared" si="10"/>
        <v>622574.82284470682</v>
      </c>
      <c r="I39" s="475">
        <f t="shared" si="3"/>
        <v>0</v>
      </c>
      <c r="J39" s="475"/>
      <c r="K39" s="487"/>
      <c r="L39" s="478">
        <f t="shared" si="11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3878401.2846068656</v>
      </c>
      <c r="E40" s="484">
        <f t="shared" si="7"/>
        <v>193982.78571428571</v>
      </c>
      <c r="F40" s="485">
        <f t="shared" si="8"/>
        <v>3684418.4988925797</v>
      </c>
      <c r="G40" s="486">
        <f t="shared" si="9"/>
        <v>601661.29705168854</v>
      </c>
      <c r="H40" s="455">
        <f t="shared" si="10"/>
        <v>601661.29705168854</v>
      </c>
      <c r="I40" s="475">
        <f t="shared" si="3"/>
        <v>0</v>
      </c>
      <c r="J40" s="475"/>
      <c r="K40" s="487"/>
      <c r="L40" s="478">
        <f t="shared" si="11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3684418.4988925797</v>
      </c>
      <c r="E41" s="484">
        <f t="shared" si="7"/>
        <v>193982.78571428571</v>
      </c>
      <c r="F41" s="485">
        <f t="shared" si="8"/>
        <v>3490435.7131782938</v>
      </c>
      <c r="G41" s="486">
        <f t="shared" si="9"/>
        <v>580747.77125867025</v>
      </c>
      <c r="H41" s="455">
        <f t="shared" si="10"/>
        <v>580747.77125867025</v>
      </c>
      <c r="I41" s="475">
        <f t="shared" si="3"/>
        <v>0</v>
      </c>
      <c r="J41" s="475"/>
      <c r="K41" s="487"/>
      <c r="L41" s="478">
        <f t="shared" si="11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3490435.7131782938</v>
      </c>
      <c r="E42" s="484">
        <f t="shared" si="7"/>
        <v>193982.78571428571</v>
      </c>
      <c r="F42" s="485">
        <f t="shared" si="8"/>
        <v>3296452.9274640079</v>
      </c>
      <c r="G42" s="486">
        <f t="shared" si="9"/>
        <v>559834.24546565197</v>
      </c>
      <c r="H42" s="455">
        <f t="shared" si="10"/>
        <v>559834.24546565197</v>
      </c>
      <c r="I42" s="475">
        <f t="shared" si="3"/>
        <v>0</v>
      </c>
      <c r="J42" s="475"/>
      <c r="K42" s="487"/>
      <c r="L42" s="478">
        <f t="shared" si="11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3296452.9274640079</v>
      </c>
      <c r="E43" s="484">
        <f t="shared" si="7"/>
        <v>193982.78571428571</v>
      </c>
      <c r="F43" s="485">
        <f t="shared" si="8"/>
        <v>3102470.141749722</v>
      </c>
      <c r="G43" s="486">
        <f t="shared" si="9"/>
        <v>538920.71967263357</v>
      </c>
      <c r="H43" s="455">
        <f t="shared" si="10"/>
        <v>538920.71967263357</v>
      </c>
      <c r="I43" s="475">
        <f t="shared" si="3"/>
        <v>0</v>
      </c>
      <c r="J43" s="475"/>
      <c r="K43" s="487"/>
      <c r="L43" s="478">
        <f t="shared" si="11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3102470.141749722</v>
      </c>
      <c r="E44" s="484">
        <f t="shared" si="7"/>
        <v>193982.78571428571</v>
      </c>
      <c r="F44" s="485">
        <f t="shared" si="8"/>
        <v>2908487.356035436</v>
      </c>
      <c r="G44" s="486">
        <f t="shared" si="9"/>
        <v>518007.19387961528</v>
      </c>
      <c r="H44" s="455">
        <f t="shared" si="10"/>
        <v>518007.19387961528</v>
      </c>
      <c r="I44" s="475">
        <f t="shared" si="3"/>
        <v>0</v>
      </c>
      <c r="J44" s="475"/>
      <c r="K44" s="487"/>
      <c r="L44" s="478">
        <f t="shared" si="11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2908487.356035436</v>
      </c>
      <c r="E45" s="484">
        <f t="shared" si="7"/>
        <v>193982.78571428571</v>
      </c>
      <c r="F45" s="485">
        <f t="shared" si="8"/>
        <v>2714504.5703211501</v>
      </c>
      <c r="G45" s="486">
        <f t="shared" si="9"/>
        <v>497093.66808659688</v>
      </c>
      <c r="H45" s="455">
        <f t="shared" si="10"/>
        <v>497093.66808659688</v>
      </c>
      <c r="I45" s="475">
        <f t="shared" si="3"/>
        <v>0</v>
      </c>
      <c r="J45" s="475"/>
      <c r="K45" s="487"/>
      <c r="L45" s="478">
        <f t="shared" si="11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2714504.5703211501</v>
      </c>
      <c r="E46" s="484">
        <f t="shared" si="7"/>
        <v>193982.78571428571</v>
      </c>
      <c r="F46" s="485">
        <f t="shared" si="8"/>
        <v>2520521.7846068642</v>
      </c>
      <c r="G46" s="486">
        <f t="shared" si="9"/>
        <v>476180.1422935786</v>
      </c>
      <c r="H46" s="455">
        <f t="shared" si="10"/>
        <v>476180.1422935786</v>
      </c>
      <c r="I46" s="475">
        <f t="shared" si="3"/>
        <v>0</v>
      </c>
      <c r="J46" s="475"/>
      <c r="K46" s="487"/>
      <c r="L46" s="478">
        <f t="shared" si="11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2520521.7846068642</v>
      </c>
      <c r="E47" s="484">
        <f t="shared" si="7"/>
        <v>193982.78571428571</v>
      </c>
      <c r="F47" s="485">
        <f t="shared" si="8"/>
        <v>2326538.9988925783</v>
      </c>
      <c r="G47" s="486">
        <f t="shared" si="9"/>
        <v>455266.61650056019</v>
      </c>
      <c r="H47" s="455">
        <f t="shared" si="10"/>
        <v>455266.61650056019</v>
      </c>
      <c r="I47" s="475">
        <f t="shared" si="3"/>
        <v>0</v>
      </c>
      <c r="J47" s="475"/>
      <c r="K47" s="487"/>
      <c r="L47" s="478">
        <f t="shared" si="11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2326538.9988925783</v>
      </c>
      <c r="E48" s="484">
        <f t="shared" si="7"/>
        <v>193982.78571428571</v>
      </c>
      <c r="F48" s="485">
        <f t="shared" si="8"/>
        <v>2132556.2131782924</v>
      </c>
      <c r="G48" s="486">
        <f t="shared" si="9"/>
        <v>434353.09070754191</v>
      </c>
      <c r="H48" s="455">
        <f t="shared" si="10"/>
        <v>434353.09070754191</v>
      </c>
      <c r="I48" s="475">
        <f t="shared" si="3"/>
        <v>0</v>
      </c>
      <c r="J48" s="475"/>
      <c r="K48" s="487"/>
      <c r="L48" s="478">
        <f t="shared" si="11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2132556.2131782924</v>
      </c>
      <c r="E49" s="484">
        <f t="shared" si="7"/>
        <v>193982.78571428571</v>
      </c>
      <c r="F49" s="485">
        <f t="shared" si="8"/>
        <v>1938573.4274640067</v>
      </c>
      <c r="G49" s="486">
        <f t="shared" si="9"/>
        <v>413439.56491452357</v>
      </c>
      <c r="H49" s="455">
        <f t="shared" si="10"/>
        <v>413439.56491452357</v>
      </c>
      <c r="I49" s="475">
        <f t="shared" si="3"/>
        <v>0</v>
      </c>
      <c r="J49" s="475"/>
      <c r="K49" s="487"/>
      <c r="L49" s="478">
        <f t="shared" si="11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1938573.4274640067</v>
      </c>
      <c r="E50" s="484">
        <f t="shared" si="7"/>
        <v>193982.78571428571</v>
      </c>
      <c r="F50" s="485">
        <f t="shared" si="8"/>
        <v>1744590.641749721</v>
      </c>
      <c r="G50" s="486">
        <f t="shared" si="9"/>
        <v>392526.03912150522</v>
      </c>
      <c r="H50" s="455">
        <f t="shared" si="10"/>
        <v>392526.03912150522</v>
      </c>
      <c r="I50" s="475">
        <f t="shared" si="3"/>
        <v>0</v>
      </c>
      <c r="J50" s="475"/>
      <c r="K50" s="487"/>
      <c r="L50" s="478">
        <f t="shared" si="11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1744590.641749721</v>
      </c>
      <c r="E51" s="484">
        <f t="shared" si="7"/>
        <v>193982.78571428571</v>
      </c>
      <c r="F51" s="485">
        <f t="shared" si="8"/>
        <v>1550607.8560354353</v>
      </c>
      <c r="G51" s="486">
        <f t="shared" si="9"/>
        <v>371612.51332848694</v>
      </c>
      <c r="H51" s="455">
        <f t="shared" si="10"/>
        <v>371612.51332848694</v>
      </c>
      <c r="I51" s="475">
        <f t="shared" si="3"/>
        <v>0</v>
      </c>
      <c r="J51" s="475"/>
      <c r="K51" s="487"/>
      <c r="L51" s="478">
        <f t="shared" si="11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1550607.8560354353</v>
      </c>
      <c r="E52" s="484">
        <f t="shared" si="7"/>
        <v>193982.78571428571</v>
      </c>
      <c r="F52" s="485">
        <f t="shared" si="8"/>
        <v>1356625.0703211497</v>
      </c>
      <c r="G52" s="486">
        <f t="shared" si="9"/>
        <v>350698.98753546859</v>
      </c>
      <c r="H52" s="455">
        <f t="shared" si="10"/>
        <v>350698.98753546859</v>
      </c>
      <c r="I52" s="475">
        <f t="shared" si="3"/>
        <v>0</v>
      </c>
      <c r="J52" s="475"/>
      <c r="K52" s="487"/>
      <c r="L52" s="478">
        <f t="shared" si="11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1356625.0703211497</v>
      </c>
      <c r="E53" s="484">
        <f t="shared" si="7"/>
        <v>193982.78571428571</v>
      </c>
      <c r="F53" s="485">
        <f t="shared" si="8"/>
        <v>1162642.284606864</v>
      </c>
      <c r="G53" s="486">
        <f t="shared" si="9"/>
        <v>329785.46174245031</v>
      </c>
      <c r="H53" s="455">
        <f t="shared" si="10"/>
        <v>329785.46174245031</v>
      </c>
      <c r="I53" s="475">
        <f t="shared" si="3"/>
        <v>0</v>
      </c>
      <c r="J53" s="475"/>
      <c r="K53" s="487"/>
      <c r="L53" s="478">
        <f t="shared" si="11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1162642.284606864</v>
      </c>
      <c r="E54" s="484">
        <f t="shared" si="7"/>
        <v>193982.78571428571</v>
      </c>
      <c r="F54" s="485">
        <f t="shared" si="8"/>
        <v>968659.4988925783</v>
      </c>
      <c r="G54" s="486">
        <f t="shared" si="9"/>
        <v>308871.93594943197</v>
      </c>
      <c r="H54" s="455">
        <f t="shared" si="10"/>
        <v>308871.93594943197</v>
      </c>
      <c r="I54" s="475">
        <f t="shared" si="3"/>
        <v>0</v>
      </c>
      <c r="J54" s="475"/>
      <c r="K54" s="487"/>
      <c r="L54" s="478">
        <f t="shared" si="11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968659.4988925783</v>
      </c>
      <c r="E55" s="484">
        <f t="shared" si="7"/>
        <v>193982.78571428571</v>
      </c>
      <c r="F55" s="485">
        <f t="shared" si="8"/>
        <v>774676.71317829262</v>
      </c>
      <c r="G55" s="486">
        <f t="shared" si="9"/>
        <v>287958.41015641368</v>
      </c>
      <c r="H55" s="455">
        <f t="shared" si="10"/>
        <v>287958.41015641368</v>
      </c>
      <c r="I55" s="475">
        <f t="shared" si="3"/>
        <v>0</v>
      </c>
      <c r="J55" s="475"/>
      <c r="K55" s="487"/>
      <c r="L55" s="478">
        <f t="shared" si="11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774676.71317829262</v>
      </c>
      <c r="E56" s="484">
        <f t="shared" si="7"/>
        <v>193982.78571428571</v>
      </c>
      <c r="F56" s="485">
        <f t="shared" si="8"/>
        <v>580693.92746400693</v>
      </c>
      <c r="G56" s="486">
        <f t="shared" si="9"/>
        <v>267044.88436339539</v>
      </c>
      <c r="H56" s="455">
        <f t="shared" si="10"/>
        <v>267044.88436339539</v>
      </c>
      <c r="I56" s="475">
        <f t="shared" si="3"/>
        <v>0</v>
      </c>
      <c r="J56" s="475"/>
      <c r="K56" s="487"/>
      <c r="L56" s="478">
        <f t="shared" si="11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580693.92746400693</v>
      </c>
      <c r="E57" s="484">
        <f t="shared" si="7"/>
        <v>193982.78571428571</v>
      </c>
      <c r="F57" s="485">
        <f t="shared" si="8"/>
        <v>386711.14174972125</v>
      </c>
      <c r="G57" s="486">
        <f t="shared" si="9"/>
        <v>246131.35857037705</v>
      </c>
      <c r="H57" s="455">
        <f t="shared" si="10"/>
        <v>246131.35857037705</v>
      </c>
      <c r="I57" s="475">
        <f t="shared" si="3"/>
        <v>0</v>
      </c>
      <c r="J57" s="475"/>
      <c r="K57" s="487"/>
      <c r="L57" s="478">
        <f t="shared" si="11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386711.14174972125</v>
      </c>
      <c r="E58" s="484">
        <f t="shared" si="7"/>
        <v>193982.78571428571</v>
      </c>
      <c r="F58" s="485">
        <f t="shared" si="8"/>
        <v>192728.35603543554</v>
      </c>
      <c r="G58" s="486">
        <f t="shared" si="9"/>
        <v>225217.83277735877</v>
      </c>
      <c r="H58" s="455">
        <f t="shared" si="10"/>
        <v>225217.83277735877</v>
      </c>
      <c r="I58" s="475">
        <f t="shared" si="3"/>
        <v>0</v>
      </c>
      <c r="J58" s="475"/>
      <c r="K58" s="487"/>
      <c r="L58" s="478">
        <f t="shared" si="11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192728.35603543554</v>
      </c>
      <c r="E59" s="484">
        <f t="shared" si="7"/>
        <v>192728.35603543554</v>
      </c>
      <c r="F59" s="485">
        <f t="shared" si="8"/>
        <v>0</v>
      </c>
      <c r="G59" s="486">
        <f t="shared" si="9"/>
        <v>203117.49811871749</v>
      </c>
      <c r="H59" s="455">
        <f t="shared" si="10"/>
        <v>203117.49811871749</v>
      </c>
      <c r="I59" s="475">
        <f t="shared" si="3"/>
        <v>0</v>
      </c>
      <c r="J59" s="475"/>
      <c r="K59" s="487"/>
      <c r="L59" s="478">
        <f t="shared" si="11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11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11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11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11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11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11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11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11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11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11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11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11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1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8147276.9999999953</v>
      </c>
      <c r="F73" s="348"/>
      <c r="G73" s="348">
        <f>SUM(G17:G72)</f>
        <v>26901359.971653216</v>
      </c>
      <c r="H73" s="348">
        <f>SUM(H17:H72)</f>
        <v>26901359.971653216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26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1019988.1643084703</v>
      </c>
      <c r="N87" s="508">
        <f>IF(J92&lt;D11,0,VLOOKUP(J92,C17:O72,11))</f>
        <v>1019988.1643084703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1052319.106232034</v>
      </c>
      <c r="N88" s="512">
        <f>IF(J92&lt;D11,0,VLOOKUP(J92,C99:P154,7))</f>
        <v>1052319.106232034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Tulsa Southeast - E. 61st St 138 kV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32330.941923563718</v>
      </c>
      <c r="N89" s="517">
        <f>+N88-N87</f>
        <v>32330.941923563718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TP2017011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8147277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208905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0</v>
      </c>
      <c r="F99" s="584">
        <v>6388896</v>
      </c>
      <c r="G99" s="608">
        <v>3194448</v>
      </c>
      <c r="H99" s="587">
        <v>329392.39438521734</v>
      </c>
      <c r="I99" s="607">
        <v>329392.39438521734</v>
      </c>
      <c r="J99" s="478">
        <f>+I99-H99</f>
        <v>0</v>
      </c>
      <c r="K99" s="478"/>
      <c r="L99" s="477">
        <f>+H99</f>
        <v>329392.39438521734</v>
      </c>
      <c r="M99" s="477">
        <f t="shared" ref="M99" si="12">IF(L99&lt;&gt;0,+H99-L99,0)</f>
        <v>0</v>
      </c>
      <c r="N99" s="477">
        <f>+I99</f>
        <v>329392.39438521734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84">
        <v>8144614</v>
      </c>
      <c r="E100" s="585">
        <v>189410</v>
      </c>
      <c r="F100" s="586">
        <v>7955204</v>
      </c>
      <c r="G100" s="586">
        <v>8049909</v>
      </c>
      <c r="H100" s="606">
        <v>1117542.3763000495</v>
      </c>
      <c r="I100" s="607">
        <v>1117542.3763000495</v>
      </c>
      <c r="J100" s="478">
        <f t="shared" ref="J100:J130" si="15">+I100-H100</f>
        <v>0</v>
      </c>
      <c r="K100" s="478"/>
      <c r="L100" s="476">
        <f>H100</f>
        <v>1117542.3763000495</v>
      </c>
      <c r="M100" s="349">
        <f>IF(L100&lt;&gt;0,+H100-L100,0)</f>
        <v>0</v>
      </c>
      <c r="N100" s="476">
        <f>I100</f>
        <v>1117542.3763000495</v>
      </c>
      <c r="O100" s="478">
        <f t="shared" si="13"/>
        <v>0</v>
      </c>
      <c r="P100" s="478">
        <f t="shared" si="14"/>
        <v>0</v>
      </c>
    </row>
    <row r="101" spans="1:16">
      <c r="B101" s="160" t="str">
        <f t="shared" ref="B101:B154" si="16">IF(D101=F100,"","IU")</f>
        <v>IU</v>
      </c>
      <c r="C101" s="472">
        <f>IF(D93="","-",+C100+1)</f>
        <v>2021</v>
      </c>
      <c r="D101" s="584">
        <v>7958291</v>
      </c>
      <c r="E101" s="585">
        <v>198724</v>
      </c>
      <c r="F101" s="586">
        <v>7759567</v>
      </c>
      <c r="G101" s="586">
        <v>7858929</v>
      </c>
      <c r="H101" s="606">
        <v>1093013.4811459687</v>
      </c>
      <c r="I101" s="607">
        <v>1093013.4811459687</v>
      </c>
      <c r="J101" s="478">
        <f t="shared" si="15"/>
        <v>0</v>
      </c>
      <c r="K101" s="478"/>
      <c r="L101" s="476">
        <f>H101</f>
        <v>1093013.4811459687</v>
      </c>
      <c r="M101" s="349">
        <f>IF(L101&lt;&gt;0,+H101-L101,0)</f>
        <v>0</v>
      </c>
      <c r="N101" s="476">
        <f>I101</f>
        <v>1093013.4811459687</v>
      </c>
      <c r="O101" s="478">
        <f t="shared" si="13"/>
        <v>0</v>
      </c>
      <c r="P101" s="478">
        <f t="shared" si="14"/>
        <v>0</v>
      </c>
    </row>
    <row r="102" spans="1:16">
      <c r="B102" s="160" t="str">
        <f t="shared" si="16"/>
        <v>IU</v>
      </c>
      <c r="C102" s="472">
        <f>IF(D93="","-",+C101+1)</f>
        <v>2022</v>
      </c>
      <c r="D102" s="347">
        <f>IF(F101+SUM(E$99:E101)=D$92,F101,D$92-SUM(E$99:E101))</f>
        <v>7759143</v>
      </c>
      <c r="E102" s="484">
        <f t="shared" ref="E102:E154" si="17">IF(+J$96&lt;F101,J$96,D102)</f>
        <v>208905</v>
      </c>
      <c r="F102" s="485">
        <f t="shared" ref="F102:F154" si="18">+D102-E102</f>
        <v>7550238</v>
      </c>
      <c r="G102" s="485">
        <f t="shared" ref="G102:G154" si="19">+(F102+D102)/2</f>
        <v>7654690.5</v>
      </c>
      <c r="H102" s="486">
        <f t="shared" ref="H102:H153" si="20">(D102+F102)/2*J$94+E102</f>
        <v>1052319.106232034</v>
      </c>
      <c r="I102" s="542">
        <f t="shared" ref="I102:I153" si="21">+J$95*G102+E102</f>
        <v>1052319.106232034</v>
      </c>
      <c r="J102" s="478">
        <f t="shared" si="15"/>
        <v>0</v>
      </c>
      <c r="K102" s="478"/>
      <c r="L102" s="487"/>
      <c r="M102" s="478">
        <f t="shared" ref="M102:M130" si="22">IF(L102&lt;&gt;0,+H102-L102,0)</f>
        <v>0</v>
      </c>
      <c r="N102" s="487"/>
      <c r="O102" s="478">
        <f t="shared" si="13"/>
        <v>0</v>
      </c>
      <c r="P102" s="478">
        <f t="shared" si="14"/>
        <v>0</v>
      </c>
    </row>
    <row r="103" spans="1:16">
      <c r="B103" s="160" t="str">
        <f t="shared" si="16"/>
        <v/>
      </c>
      <c r="C103" s="472">
        <f>IF(D93="","-",+C102+1)</f>
        <v>2023</v>
      </c>
      <c r="D103" s="347">
        <f>IF(F102+SUM(E$99:E102)=D$92,F102,D$92-SUM(E$99:E102))</f>
        <v>7550238</v>
      </c>
      <c r="E103" s="484">
        <f t="shared" si="17"/>
        <v>208905</v>
      </c>
      <c r="F103" s="485">
        <f t="shared" si="18"/>
        <v>7341333</v>
      </c>
      <c r="G103" s="485">
        <f t="shared" si="19"/>
        <v>7445785.5</v>
      </c>
      <c r="H103" s="486">
        <f t="shared" si="20"/>
        <v>1029301.3991330464</v>
      </c>
      <c r="I103" s="542">
        <f t="shared" si="21"/>
        <v>1029301.3991330464</v>
      </c>
      <c r="J103" s="478">
        <f t="shared" si="15"/>
        <v>0</v>
      </c>
      <c r="K103" s="478"/>
      <c r="L103" s="487"/>
      <c r="M103" s="478">
        <f t="shared" si="22"/>
        <v>0</v>
      </c>
      <c r="N103" s="487"/>
      <c r="O103" s="478">
        <f t="shared" si="13"/>
        <v>0</v>
      </c>
      <c r="P103" s="478">
        <f t="shared" si="14"/>
        <v>0</v>
      </c>
    </row>
    <row r="104" spans="1:16">
      <c r="B104" s="160" t="str">
        <f t="shared" si="16"/>
        <v/>
      </c>
      <c r="C104" s="472">
        <f>IF(D93="","-",+C103+1)</f>
        <v>2024</v>
      </c>
      <c r="D104" s="347">
        <f>IF(F103+SUM(E$99:E103)=D$92,F103,D$92-SUM(E$99:E103))</f>
        <v>7341333</v>
      </c>
      <c r="E104" s="484">
        <f t="shared" si="17"/>
        <v>208905</v>
      </c>
      <c r="F104" s="485">
        <f t="shared" si="18"/>
        <v>7132428</v>
      </c>
      <c r="G104" s="485">
        <f t="shared" si="19"/>
        <v>7236880.5</v>
      </c>
      <c r="H104" s="486">
        <f t="shared" si="20"/>
        <v>1006283.6920340589</v>
      </c>
      <c r="I104" s="542">
        <f t="shared" si="21"/>
        <v>1006283.6920340589</v>
      </c>
      <c r="J104" s="478">
        <f t="shared" si="15"/>
        <v>0</v>
      </c>
      <c r="K104" s="478"/>
      <c r="L104" s="487"/>
      <c r="M104" s="478">
        <f t="shared" si="22"/>
        <v>0</v>
      </c>
      <c r="N104" s="487"/>
      <c r="O104" s="478">
        <f t="shared" si="13"/>
        <v>0</v>
      </c>
      <c r="P104" s="478">
        <f t="shared" si="14"/>
        <v>0</v>
      </c>
    </row>
    <row r="105" spans="1:16">
      <c r="B105" s="160" t="str">
        <f t="shared" si="16"/>
        <v/>
      </c>
      <c r="C105" s="472">
        <f>IF(D93="","-",+C104+1)</f>
        <v>2025</v>
      </c>
      <c r="D105" s="347">
        <f>IF(F104+SUM(E$99:E104)=D$92,F104,D$92-SUM(E$99:E104))</f>
        <v>7132428</v>
      </c>
      <c r="E105" s="484">
        <f t="shared" si="17"/>
        <v>208905</v>
      </c>
      <c r="F105" s="485">
        <f t="shared" si="18"/>
        <v>6923523</v>
      </c>
      <c r="G105" s="485">
        <f t="shared" si="19"/>
        <v>7027975.5</v>
      </c>
      <c r="H105" s="486">
        <f t="shared" si="20"/>
        <v>983265.9849350712</v>
      </c>
      <c r="I105" s="542">
        <f t="shared" si="21"/>
        <v>983265.9849350712</v>
      </c>
      <c r="J105" s="478">
        <f t="shared" si="15"/>
        <v>0</v>
      </c>
      <c r="K105" s="478"/>
      <c r="L105" s="487"/>
      <c r="M105" s="478">
        <f t="shared" si="22"/>
        <v>0</v>
      </c>
      <c r="N105" s="487"/>
      <c r="O105" s="478">
        <f t="shared" si="13"/>
        <v>0</v>
      </c>
      <c r="P105" s="478">
        <f t="shared" si="14"/>
        <v>0</v>
      </c>
    </row>
    <row r="106" spans="1:16">
      <c r="B106" s="160" t="str">
        <f t="shared" si="16"/>
        <v/>
      </c>
      <c r="C106" s="472">
        <f>IF(D93="","-",+C105+1)</f>
        <v>2026</v>
      </c>
      <c r="D106" s="347">
        <f>IF(F105+SUM(E$99:E105)=D$92,F105,D$92-SUM(E$99:E105))</f>
        <v>6923523</v>
      </c>
      <c r="E106" s="484">
        <f t="shared" si="17"/>
        <v>208905</v>
      </c>
      <c r="F106" s="485">
        <f t="shared" si="18"/>
        <v>6714618</v>
      </c>
      <c r="G106" s="485">
        <f t="shared" si="19"/>
        <v>6819070.5</v>
      </c>
      <c r="H106" s="486">
        <f t="shared" si="20"/>
        <v>960248.27783608355</v>
      </c>
      <c r="I106" s="542">
        <f t="shared" si="21"/>
        <v>960248.27783608355</v>
      </c>
      <c r="J106" s="478">
        <f t="shared" si="15"/>
        <v>0</v>
      </c>
      <c r="K106" s="478"/>
      <c r="L106" s="487"/>
      <c r="M106" s="478">
        <f t="shared" si="22"/>
        <v>0</v>
      </c>
      <c r="N106" s="487"/>
      <c r="O106" s="478">
        <f t="shared" si="13"/>
        <v>0</v>
      </c>
      <c r="P106" s="478">
        <f t="shared" si="14"/>
        <v>0</v>
      </c>
    </row>
    <row r="107" spans="1:16">
      <c r="B107" s="160" t="str">
        <f t="shared" si="16"/>
        <v/>
      </c>
      <c r="C107" s="472">
        <f>IF(D93="","-",+C106+1)</f>
        <v>2027</v>
      </c>
      <c r="D107" s="347">
        <f>IF(F106+SUM(E$99:E106)=D$92,F106,D$92-SUM(E$99:E106))</f>
        <v>6714618</v>
      </c>
      <c r="E107" s="484">
        <f t="shared" si="17"/>
        <v>208905</v>
      </c>
      <c r="F107" s="485">
        <f t="shared" si="18"/>
        <v>6505713</v>
      </c>
      <c r="G107" s="485">
        <f t="shared" si="19"/>
        <v>6610165.5</v>
      </c>
      <c r="H107" s="486">
        <f t="shared" si="20"/>
        <v>937230.57073709602</v>
      </c>
      <c r="I107" s="542">
        <f t="shared" si="21"/>
        <v>937230.57073709602</v>
      </c>
      <c r="J107" s="478">
        <f t="shared" si="15"/>
        <v>0</v>
      </c>
      <c r="K107" s="478"/>
      <c r="L107" s="487"/>
      <c r="M107" s="478">
        <f t="shared" si="22"/>
        <v>0</v>
      </c>
      <c r="N107" s="487"/>
      <c r="O107" s="478">
        <f t="shared" si="13"/>
        <v>0</v>
      </c>
      <c r="P107" s="478">
        <f t="shared" si="14"/>
        <v>0</v>
      </c>
    </row>
    <row r="108" spans="1:16">
      <c r="B108" s="160" t="str">
        <f t="shared" si="16"/>
        <v/>
      </c>
      <c r="C108" s="472">
        <f>IF(D93="","-",+C107+1)</f>
        <v>2028</v>
      </c>
      <c r="D108" s="347">
        <f>IF(F107+SUM(E$99:E107)=D$92,F107,D$92-SUM(E$99:E107))</f>
        <v>6505713</v>
      </c>
      <c r="E108" s="484">
        <f t="shared" si="17"/>
        <v>208905</v>
      </c>
      <c r="F108" s="485">
        <f t="shared" si="18"/>
        <v>6296808</v>
      </c>
      <c r="G108" s="485">
        <f t="shared" si="19"/>
        <v>6401260.5</v>
      </c>
      <c r="H108" s="486">
        <f t="shared" si="20"/>
        <v>914212.86363810836</v>
      </c>
      <c r="I108" s="542">
        <f t="shared" si="21"/>
        <v>914212.86363810836</v>
      </c>
      <c r="J108" s="478">
        <f t="shared" si="15"/>
        <v>0</v>
      </c>
      <c r="K108" s="478"/>
      <c r="L108" s="487"/>
      <c r="M108" s="478">
        <f t="shared" si="22"/>
        <v>0</v>
      </c>
      <c r="N108" s="487"/>
      <c r="O108" s="478">
        <f t="shared" si="13"/>
        <v>0</v>
      </c>
      <c r="P108" s="478">
        <f t="shared" si="14"/>
        <v>0</v>
      </c>
    </row>
    <row r="109" spans="1:16">
      <c r="B109" s="160" t="str">
        <f t="shared" si="16"/>
        <v/>
      </c>
      <c r="C109" s="472">
        <f>IF(D93="","-",+C108+1)</f>
        <v>2029</v>
      </c>
      <c r="D109" s="347">
        <f>IF(F108+SUM(E$99:E108)=D$92,F108,D$92-SUM(E$99:E108))</f>
        <v>6296808</v>
      </c>
      <c r="E109" s="484">
        <f t="shared" si="17"/>
        <v>208905</v>
      </c>
      <c r="F109" s="485">
        <f t="shared" si="18"/>
        <v>6087903</v>
      </c>
      <c r="G109" s="485">
        <f t="shared" si="19"/>
        <v>6192355.5</v>
      </c>
      <c r="H109" s="486">
        <f t="shared" si="20"/>
        <v>891195.15653912071</v>
      </c>
      <c r="I109" s="542">
        <f t="shared" si="21"/>
        <v>891195.15653912071</v>
      </c>
      <c r="J109" s="478">
        <f t="shared" si="15"/>
        <v>0</v>
      </c>
      <c r="K109" s="478"/>
      <c r="L109" s="487"/>
      <c r="M109" s="478">
        <f t="shared" si="22"/>
        <v>0</v>
      </c>
      <c r="N109" s="487"/>
      <c r="O109" s="478">
        <f t="shared" si="13"/>
        <v>0</v>
      </c>
      <c r="P109" s="478">
        <f t="shared" si="14"/>
        <v>0</v>
      </c>
    </row>
    <row r="110" spans="1:16">
      <c r="B110" s="160" t="str">
        <f t="shared" si="16"/>
        <v/>
      </c>
      <c r="C110" s="472">
        <f>IF(D93="","-",+C109+1)</f>
        <v>2030</v>
      </c>
      <c r="D110" s="347">
        <f>IF(F109+SUM(E$99:E109)=D$92,F109,D$92-SUM(E$99:E109))</f>
        <v>6087903</v>
      </c>
      <c r="E110" s="484">
        <f t="shared" si="17"/>
        <v>208905</v>
      </c>
      <c r="F110" s="485">
        <f t="shared" si="18"/>
        <v>5878998</v>
      </c>
      <c r="G110" s="485">
        <f t="shared" si="19"/>
        <v>5983450.5</v>
      </c>
      <c r="H110" s="486">
        <f t="shared" si="20"/>
        <v>868177.44944013318</v>
      </c>
      <c r="I110" s="542">
        <f t="shared" si="21"/>
        <v>868177.44944013318</v>
      </c>
      <c r="J110" s="478">
        <f t="shared" si="15"/>
        <v>0</v>
      </c>
      <c r="K110" s="478"/>
      <c r="L110" s="487"/>
      <c r="M110" s="478">
        <f t="shared" si="22"/>
        <v>0</v>
      </c>
      <c r="N110" s="487"/>
      <c r="O110" s="478">
        <f t="shared" si="13"/>
        <v>0</v>
      </c>
      <c r="P110" s="478">
        <f t="shared" si="14"/>
        <v>0</v>
      </c>
    </row>
    <row r="111" spans="1:16">
      <c r="B111" s="160" t="str">
        <f t="shared" si="16"/>
        <v/>
      </c>
      <c r="C111" s="472">
        <f>IF(D93="","-",+C110+1)</f>
        <v>2031</v>
      </c>
      <c r="D111" s="347">
        <f>IF(F110+SUM(E$99:E110)=D$92,F110,D$92-SUM(E$99:E110))</f>
        <v>5878998</v>
      </c>
      <c r="E111" s="484">
        <f t="shared" si="17"/>
        <v>208905</v>
      </c>
      <c r="F111" s="485">
        <f t="shared" si="18"/>
        <v>5670093</v>
      </c>
      <c r="G111" s="485">
        <f t="shared" si="19"/>
        <v>5774545.5</v>
      </c>
      <c r="H111" s="486">
        <f t="shared" si="20"/>
        <v>845159.74234114552</v>
      </c>
      <c r="I111" s="542">
        <f t="shared" si="21"/>
        <v>845159.74234114552</v>
      </c>
      <c r="J111" s="478">
        <f t="shared" si="15"/>
        <v>0</v>
      </c>
      <c r="K111" s="478"/>
      <c r="L111" s="487"/>
      <c r="M111" s="478">
        <f t="shared" si="22"/>
        <v>0</v>
      </c>
      <c r="N111" s="487"/>
      <c r="O111" s="478">
        <f t="shared" si="13"/>
        <v>0</v>
      </c>
      <c r="P111" s="478">
        <f t="shared" si="14"/>
        <v>0</v>
      </c>
    </row>
    <row r="112" spans="1:16">
      <c r="B112" s="160" t="str">
        <f t="shared" si="16"/>
        <v/>
      </c>
      <c r="C112" s="472">
        <f>IF(D93="","-",+C111+1)</f>
        <v>2032</v>
      </c>
      <c r="D112" s="347">
        <f>IF(F111+SUM(E$99:E111)=D$92,F111,D$92-SUM(E$99:E111))</f>
        <v>5670093</v>
      </c>
      <c r="E112" s="484">
        <f t="shared" si="17"/>
        <v>208905</v>
      </c>
      <c r="F112" s="485">
        <f t="shared" si="18"/>
        <v>5461188</v>
      </c>
      <c r="G112" s="485">
        <f t="shared" si="19"/>
        <v>5565640.5</v>
      </c>
      <c r="H112" s="486">
        <f t="shared" si="20"/>
        <v>822142.03524215787</v>
      </c>
      <c r="I112" s="542">
        <f t="shared" si="21"/>
        <v>822142.03524215787</v>
      </c>
      <c r="J112" s="478">
        <f t="shared" si="15"/>
        <v>0</v>
      </c>
      <c r="K112" s="478"/>
      <c r="L112" s="487"/>
      <c r="M112" s="478">
        <f t="shared" si="22"/>
        <v>0</v>
      </c>
      <c r="N112" s="487"/>
      <c r="O112" s="478">
        <f t="shared" si="13"/>
        <v>0</v>
      </c>
      <c r="P112" s="478">
        <f t="shared" si="14"/>
        <v>0</v>
      </c>
    </row>
    <row r="113" spans="2:16">
      <c r="B113" s="160" t="str">
        <f t="shared" si="16"/>
        <v/>
      </c>
      <c r="C113" s="472">
        <f>IF(D93="","-",+C112+1)</f>
        <v>2033</v>
      </c>
      <c r="D113" s="347">
        <f>IF(F112+SUM(E$99:E112)=D$92,F112,D$92-SUM(E$99:E112))</f>
        <v>5461188</v>
      </c>
      <c r="E113" s="484">
        <f t="shared" si="17"/>
        <v>208905</v>
      </c>
      <c r="F113" s="485">
        <f t="shared" si="18"/>
        <v>5252283</v>
      </c>
      <c r="G113" s="485">
        <f t="shared" si="19"/>
        <v>5356735.5</v>
      </c>
      <c r="H113" s="486">
        <f t="shared" si="20"/>
        <v>799124.32814317022</v>
      </c>
      <c r="I113" s="542">
        <f t="shared" si="21"/>
        <v>799124.32814317022</v>
      </c>
      <c r="J113" s="478">
        <f t="shared" si="15"/>
        <v>0</v>
      </c>
      <c r="K113" s="478"/>
      <c r="L113" s="487"/>
      <c r="M113" s="478">
        <f t="shared" si="22"/>
        <v>0</v>
      </c>
      <c r="N113" s="487"/>
      <c r="O113" s="478">
        <f t="shared" si="13"/>
        <v>0</v>
      </c>
      <c r="P113" s="478">
        <f t="shared" si="14"/>
        <v>0</v>
      </c>
    </row>
    <row r="114" spans="2:16">
      <c r="B114" s="160" t="str">
        <f t="shared" si="16"/>
        <v/>
      </c>
      <c r="C114" s="472">
        <f>IF(D93="","-",+C113+1)</f>
        <v>2034</v>
      </c>
      <c r="D114" s="347">
        <f>IF(F113+SUM(E$99:E113)=D$92,F113,D$92-SUM(E$99:E113))</f>
        <v>5252283</v>
      </c>
      <c r="E114" s="484">
        <f t="shared" si="17"/>
        <v>208905</v>
      </c>
      <c r="F114" s="485">
        <f t="shared" si="18"/>
        <v>5043378</v>
      </c>
      <c r="G114" s="485">
        <f t="shared" si="19"/>
        <v>5147830.5</v>
      </c>
      <c r="H114" s="486">
        <f t="shared" si="20"/>
        <v>776106.62104418268</v>
      </c>
      <c r="I114" s="542">
        <f t="shared" si="21"/>
        <v>776106.62104418268</v>
      </c>
      <c r="J114" s="478">
        <f t="shared" si="15"/>
        <v>0</v>
      </c>
      <c r="K114" s="478"/>
      <c r="L114" s="487"/>
      <c r="M114" s="478">
        <f t="shared" si="22"/>
        <v>0</v>
      </c>
      <c r="N114" s="487"/>
      <c r="O114" s="478">
        <f t="shared" si="13"/>
        <v>0</v>
      </c>
      <c r="P114" s="478">
        <f t="shared" si="14"/>
        <v>0</v>
      </c>
    </row>
    <row r="115" spans="2:16">
      <c r="B115" s="160" t="str">
        <f t="shared" si="16"/>
        <v/>
      </c>
      <c r="C115" s="472">
        <f>IF(D93="","-",+C114+1)</f>
        <v>2035</v>
      </c>
      <c r="D115" s="347">
        <f>IF(F114+SUM(E$99:E114)=D$92,F114,D$92-SUM(E$99:E114))</f>
        <v>5043378</v>
      </c>
      <c r="E115" s="484">
        <f t="shared" si="17"/>
        <v>208905</v>
      </c>
      <c r="F115" s="485">
        <f t="shared" si="18"/>
        <v>4834473</v>
      </c>
      <c r="G115" s="485">
        <f t="shared" si="19"/>
        <v>4938925.5</v>
      </c>
      <c r="H115" s="486">
        <f t="shared" si="20"/>
        <v>753088.91394519503</v>
      </c>
      <c r="I115" s="542">
        <f t="shared" si="21"/>
        <v>753088.91394519503</v>
      </c>
      <c r="J115" s="478">
        <f t="shared" si="15"/>
        <v>0</v>
      </c>
      <c r="K115" s="478"/>
      <c r="L115" s="487"/>
      <c r="M115" s="478">
        <f t="shared" si="22"/>
        <v>0</v>
      </c>
      <c r="N115" s="487"/>
      <c r="O115" s="478">
        <f t="shared" si="13"/>
        <v>0</v>
      </c>
      <c r="P115" s="478">
        <f t="shared" si="14"/>
        <v>0</v>
      </c>
    </row>
    <row r="116" spans="2:16">
      <c r="B116" s="160" t="str">
        <f t="shared" si="16"/>
        <v/>
      </c>
      <c r="C116" s="472">
        <f>IF(D93="","-",+C115+1)</f>
        <v>2036</v>
      </c>
      <c r="D116" s="347">
        <f>IF(F115+SUM(E$99:E115)=D$92,F115,D$92-SUM(E$99:E115))</f>
        <v>4834473</v>
      </c>
      <c r="E116" s="484">
        <f t="shared" si="17"/>
        <v>208905</v>
      </c>
      <c r="F116" s="485">
        <f t="shared" si="18"/>
        <v>4625568</v>
      </c>
      <c r="G116" s="485">
        <f t="shared" si="19"/>
        <v>4730020.5</v>
      </c>
      <c r="H116" s="486">
        <f t="shared" si="20"/>
        <v>730071.20684620738</v>
      </c>
      <c r="I116" s="542">
        <f t="shared" si="21"/>
        <v>730071.20684620738</v>
      </c>
      <c r="J116" s="478">
        <f t="shared" si="15"/>
        <v>0</v>
      </c>
      <c r="K116" s="478"/>
      <c r="L116" s="487"/>
      <c r="M116" s="478">
        <f t="shared" si="22"/>
        <v>0</v>
      </c>
      <c r="N116" s="487"/>
      <c r="O116" s="478">
        <f t="shared" si="13"/>
        <v>0</v>
      </c>
      <c r="P116" s="478">
        <f t="shared" si="14"/>
        <v>0</v>
      </c>
    </row>
    <row r="117" spans="2:16">
      <c r="B117" s="160" t="str">
        <f t="shared" si="16"/>
        <v/>
      </c>
      <c r="C117" s="472">
        <f>IF(D93="","-",+C116+1)</f>
        <v>2037</v>
      </c>
      <c r="D117" s="347">
        <f>IF(F116+SUM(E$99:E116)=D$92,F116,D$92-SUM(E$99:E116))</f>
        <v>4625568</v>
      </c>
      <c r="E117" s="484">
        <f t="shared" si="17"/>
        <v>208905</v>
      </c>
      <c r="F117" s="485">
        <f t="shared" si="18"/>
        <v>4416663</v>
      </c>
      <c r="G117" s="485">
        <f t="shared" si="19"/>
        <v>4521115.5</v>
      </c>
      <c r="H117" s="486">
        <f t="shared" si="20"/>
        <v>707053.49974721973</v>
      </c>
      <c r="I117" s="542">
        <f t="shared" si="21"/>
        <v>707053.49974721973</v>
      </c>
      <c r="J117" s="478">
        <f t="shared" si="15"/>
        <v>0</v>
      </c>
      <c r="K117" s="478"/>
      <c r="L117" s="487"/>
      <c r="M117" s="478">
        <f t="shared" si="22"/>
        <v>0</v>
      </c>
      <c r="N117" s="487"/>
      <c r="O117" s="478">
        <f t="shared" si="13"/>
        <v>0</v>
      </c>
      <c r="P117" s="478">
        <f t="shared" si="14"/>
        <v>0</v>
      </c>
    </row>
    <row r="118" spans="2:16">
      <c r="B118" s="160" t="str">
        <f t="shared" si="16"/>
        <v/>
      </c>
      <c r="C118" s="472">
        <f>IF(D93="","-",+C117+1)</f>
        <v>2038</v>
      </c>
      <c r="D118" s="347">
        <f>IF(F117+SUM(E$99:E117)=D$92,F117,D$92-SUM(E$99:E117))</f>
        <v>4416663</v>
      </c>
      <c r="E118" s="484">
        <f t="shared" si="17"/>
        <v>208905</v>
      </c>
      <c r="F118" s="485">
        <f t="shared" si="18"/>
        <v>4207758</v>
      </c>
      <c r="G118" s="485">
        <f t="shared" si="19"/>
        <v>4312210.5</v>
      </c>
      <c r="H118" s="486">
        <f t="shared" si="20"/>
        <v>684035.79264823219</v>
      </c>
      <c r="I118" s="542">
        <f t="shared" si="21"/>
        <v>684035.79264823219</v>
      </c>
      <c r="J118" s="478">
        <f t="shared" si="15"/>
        <v>0</v>
      </c>
      <c r="K118" s="478"/>
      <c r="L118" s="487"/>
      <c r="M118" s="478">
        <f t="shared" si="22"/>
        <v>0</v>
      </c>
      <c r="N118" s="487"/>
      <c r="O118" s="478">
        <f t="shared" si="13"/>
        <v>0</v>
      </c>
      <c r="P118" s="478">
        <f t="shared" si="14"/>
        <v>0</v>
      </c>
    </row>
    <row r="119" spans="2:16">
      <c r="B119" s="160" t="str">
        <f t="shared" si="16"/>
        <v/>
      </c>
      <c r="C119" s="472">
        <f>IF(D93="","-",+C118+1)</f>
        <v>2039</v>
      </c>
      <c r="D119" s="347">
        <f>IF(F118+SUM(E$99:E118)=D$92,F118,D$92-SUM(E$99:E118))</f>
        <v>4207758</v>
      </c>
      <c r="E119" s="484">
        <f t="shared" si="17"/>
        <v>208905</v>
      </c>
      <c r="F119" s="485">
        <f t="shared" si="18"/>
        <v>3998853</v>
      </c>
      <c r="G119" s="485">
        <f t="shared" si="19"/>
        <v>4103305.5</v>
      </c>
      <c r="H119" s="486">
        <f t="shared" si="20"/>
        <v>661018.08554924454</v>
      </c>
      <c r="I119" s="542">
        <f t="shared" si="21"/>
        <v>661018.08554924454</v>
      </c>
      <c r="J119" s="478">
        <f t="shared" si="15"/>
        <v>0</v>
      </c>
      <c r="K119" s="478"/>
      <c r="L119" s="487"/>
      <c r="M119" s="478">
        <f t="shared" si="22"/>
        <v>0</v>
      </c>
      <c r="N119" s="487"/>
      <c r="O119" s="478">
        <f t="shared" si="13"/>
        <v>0</v>
      </c>
      <c r="P119" s="478">
        <f t="shared" si="14"/>
        <v>0</v>
      </c>
    </row>
    <row r="120" spans="2:16">
      <c r="B120" s="160" t="str">
        <f t="shared" si="16"/>
        <v/>
      </c>
      <c r="C120" s="472">
        <f>IF(D93="","-",+C119+1)</f>
        <v>2040</v>
      </c>
      <c r="D120" s="347">
        <f>IF(F119+SUM(E$99:E119)=D$92,F119,D$92-SUM(E$99:E119))</f>
        <v>3998853</v>
      </c>
      <c r="E120" s="484">
        <f t="shared" si="17"/>
        <v>208905</v>
      </c>
      <c r="F120" s="485">
        <f t="shared" si="18"/>
        <v>3789948</v>
      </c>
      <c r="G120" s="485">
        <f t="shared" si="19"/>
        <v>3894400.5</v>
      </c>
      <c r="H120" s="486">
        <f t="shared" si="20"/>
        <v>638000.37845025701</v>
      </c>
      <c r="I120" s="542">
        <f t="shared" si="21"/>
        <v>638000.37845025701</v>
      </c>
      <c r="J120" s="478">
        <f t="shared" si="15"/>
        <v>0</v>
      </c>
      <c r="K120" s="478"/>
      <c r="L120" s="487"/>
      <c r="M120" s="478">
        <f t="shared" si="22"/>
        <v>0</v>
      </c>
      <c r="N120" s="487"/>
      <c r="O120" s="478">
        <f t="shared" si="13"/>
        <v>0</v>
      </c>
      <c r="P120" s="478">
        <f t="shared" si="14"/>
        <v>0</v>
      </c>
    </row>
    <row r="121" spans="2:16">
      <c r="B121" s="160" t="str">
        <f t="shared" si="16"/>
        <v/>
      </c>
      <c r="C121" s="472">
        <f>IF(D93="","-",+C120+1)</f>
        <v>2041</v>
      </c>
      <c r="D121" s="347">
        <f>IF(F120+SUM(E$99:E120)=D$92,F120,D$92-SUM(E$99:E120))</f>
        <v>3789948</v>
      </c>
      <c r="E121" s="484">
        <f t="shared" si="17"/>
        <v>208905</v>
      </c>
      <c r="F121" s="485">
        <f t="shared" si="18"/>
        <v>3581043</v>
      </c>
      <c r="G121" s="485">
        <f t="shared" si="19"/>
        <v>3685495.5</v>
      </c>
      <c r="H121" s="486">
        <f t="shared" si="20"/>
        <v>614982.67135126935</v>
      </c>
      <c r="I121" s="542">
        <f t="shared" si="21"/>
        <v>614982.67135126935</v>
      </c>
      <c r="J121" s="478">
        <f t="shared" si="15"/>
        <v>0</v>
      </c>
      <c r="K121" s="478"/>
      <c r="L121" s="487"/>
      <c r="M121" s="478">
        <f t="shared" si="22"/>
        <v>0</v>
      </c>
      <c r="N121" s="487"/>
      <c r="O121" s="478">
        <f t="shared" si="13"/>
        <v>0</v>
      </c>
      <c r="P121" s="478">
        <f t="shared" si="14"/>
        <v>0</v>
      </c>
    </row>
    <row r="122" spans="2:16">
      <c r="B122" s="160" t="str">
        <f t="shared" si="16"/>
        <v/>
      </c>
      <c r="C122" s="472">
        <f>IF(D93="","-",+C121+1)</f>
        <v>2042</v>
      </c>
      <c r="D122" s="347">
        <f>IF(F121+SUM(E$99:E121)=D$92,F121,D$92-SUM(E$99:E121))</f>
        <v>3581043</v>
      </c>
      <c r="E122" s="484">
        <f t="shared" si="17"/>
        <v>208905</v>
      </c>
      <c r="F122" s="485">
        <f t="shared" si="18"/>
        <v>3372138</v>
      </c>
      <c r="G122" s="485">
        <f t="shared" si="19"/>
        <v>3476590.5</v>
      </c>
      <c r="H122" s="486">
        <f t="shared" si="20"/>
        <v>591964.9642522817</v>
      </c>
      <c r="I122" s="542">
        <f t="shared" si="21"/>
        <v>591964.9642522817</v>
      </c>
      <c r="J122" s="478">
        <f t="shared" si="15"/>
        <v>0</v>
      </c>
      <c r="K122" s="478"/>
      <c r="L122" s="487"/>
      <c r="M122" s="478">
        <f t="shared" si="22"/>
        <v>0</v>
      </c>
      <c r="N122" s="487"/>
      <c r="O122" s="478">
        <f t="shared" si="13"/>
        <v>0</v>
      </c>
      <c r="P122" s="478">
        <f t="shared" si="14"/>
        <v>0</v>
      </c>
    </row>
    <row r="123" spans="2:16">
      <c r="B123" s="160" t="str">
        <f t="shared" si="16"/>
        <v/>
      </c>
      <c r="C123" s="472">
        <f>IF(D93="","-",+C122+1)</f>
        <v>2043</v>
      </c>
      <c r="D123" s="347">
        <f>IF(F122+SUM(E$99:E122)=D$92,F122,D$92-SUM(E$99:E122))</f>
        <v>3372138</v>
      </c>
      <c r="E123" s="484">
        <f t="shared" si="17"/>
        <v>208905</v>
      </c>
      <c r="F123" s="485">
        <f t="shared" si="18"/>
        <v>3163233</v>
      </c>
      <c r="G123" s="485">
        <f t="shared" si="19"/>
        <v>3267685.5</v>
      </c>
      <c r="H123" s="486">
        <f t="shared" si="20"/>
        <v>568947.25715329405</v>
      </c>
      <c r="I123" s="542">
        <f t="shared" si="21"/>
        <v>568947.25715329405</v>
      </c>
      <c r="J123" s="478">
        <f t="shared" si="15"/>
        <v>0</v>
      </c>
      <c r="K123" s="478"/>
      <c r="L123" s="487"/>
      <c r="M123" s="478">
        <f t="shared" si="22"/>
        <v>0</v>
      </c>
      <c r="N123" s="487"/>
      <c r="O123" s="478">
        <f t="shared" si="13"/>
        <v>0</v>
      </c>
      <c r="P123" s="478">
        <f t="shared" si="14"/>
        <v>0</v>
      </c>
    </row>
    <row r="124" spans="2:16">
      <c r="B124" s="160" t="str">
        <f t="shared" si="16"/>
        <v/>
      </c>
      <c r="C124" s="472">
        <f>IF(D93="","-",+C123+1)</f>
        <v>2044</v>
      </c>
      <c r="D124" s="347">
        <f>IF(F123+SUM(E$99:E123)=D$92,F123,D$92-SUM(E$99:E123))</f>
        <v>3163233</v>
      </c>
      <c r="E124" s="484">
        <f t="shared" si="17"/>
        <v>208905</v>
      </c>
      <c r="F124" s="485">
        <f t="shared" si="18"/>
        <v>2954328</v>
      </c>
      <c r="G124" s="485">
        <f t="shared" si="19"/>
        <v>3058780.5</v>
      </c>
      <c r="H124" s="486">
        <f t="shared" si="20"/>
        <v>545929.5500543064</v>
      </c>
      <c r="I124" s="542">
        <f t="shared" si="21"/>
        <v>545929.5500543064</v>
      </c>
      <c r="J124" s="478">
        <f t="shared" si="15"/>
        <v>0</v>
      </c>
      <c r="K124" s="478"/>
      <c r="L124" s="487"/>
      <c r="M124" s="478">
        <f t="shared" si="22"/>
        <v>0</v>
      </c>
      <c r="N124" s="487"/>
      <c r="O124" s="478">
        <f t="shared" si="13"/>
        <v>0</v>
      </c>
      <c r="P124" s="478">
        <f t="shared" si="14"/>
        <v>0</v>
      </c>
    </row>
    <row r="125" spans="2:16">
      <c r="B125" s="160" t="str">
        <f t="shared" si="16"/>
        <v/>
      </c>
      <c r="C125" s="472">
        <f>IF(D93="","-",+C124+1)</f>
        <v>2045</v>
      </c>
      <c r="D125" s="347">
        <f>IF(F124+SUM(E$99:E124)=D$92,F124,D$92-SUM(E$99:E124))</f>
        <v>2954328</v>
      </c>
      <c r="E125" s="484">
        <f t="shared" si="17"/>
        <v>208905</v>
      </c>
      <c r="F125" s="485">
        <f t="shared" si="18"/>
        <v>2745423</v>
      </c>
      <c r="G125" s="485">
        <f t="shared" si="19"/>
        <v>2849875.5</v>
      </c>
      <c r="H125" s="486">
        <f t="shared" si="20"/>
        <v>522911.84295531886</v>
      </c>
      <c r="I125" s="542">
        <f t="shared" si="21"/>
        <v>522911.84295531886</v>
      </c>
      <c r="J125" s="478">
        <f t="shared" si="15"/>
        <v>0</v>
      </c>
      <c r="K125" s="478"/>
      <c r="L125" s="487"/>
      <c r="M125" s="478">
        <f t="shared" si="22"/>
        <v>0</v>
      </c>
      <c r="N125" s="487"/>
      <c r="O125" s="478">
        <f t="shared" si="13"/>
        <v>0</v>
      </c>
      <c r="P125" s="478">
        <f t="shared" si="14"/>
        <v>0</v>
      </c>
    </row>
    <row r="126" spans="2:16">
      <c r="B126" s="160" t="str">
        <f t="shared" si="16"/>
        <v/>
      </c>
      <c r="C126" s="472">
        <f>IF(D93="","-",+C125+1)</f>
        <v>2046</v>
      </c>
      <c r="D126" s="347">
        <f>IF(F125+SUM(E$99:E125)=D$92,F125,D$92-SUM(E$99:E125))</f>
        <v>2745423</v>
      </c>
      <c r="E126" s="484">
        <f t="shared" si="17"/>
        <v>208905</v>
      </c>
      <c r="F126" s="485">
        <f t="shared" si="18"/>
        <v>2536518</v>
      </c>
      <c r="G126" s="485">
        <f t="shared" si="19"/>
        <v>2640970.5</v>
      </c>
      <c r="H126" s="486">
        <f t="shared" si="20"/>
        <v>499894.13585633127</v>
      </c>
      <c r="I126" s="542">
        <f t="shared" si="21"/>
        <v>499894.13585633127</v>
      </c>
      <c r="J126" s="478">
        <f t="shared" si="15"/>
        <v>0</v>
      </c>
      <c r="K126" s="478"/>
      <c r="L126" s="487"/>
      <c r="M126" s="478">
        <f t="shared" si="22"/>
        <v>0</v>
      </c>
      <c r="N126" s="487"/>
      <c r="O126" s="478">
        <f t="shared" si="13"/>
        <v>0</v>
      </c>
      <c r="P126" s="478">
        <f t="shared" si="14"/>
        <v>0</v>
      </c>
    </row>
    <row r="127" spans="2:16">
      <c r="B127" s="160" t="str">
        <f t="shared" si="16"/>
        <v/>
      </c>
      <c r="C127" s="472">
        <f>IF(D93="","-",+C126+1)</f>
        <v>2047</v>
      </c>
      <c r="D127" s="347">
        <f>IF(F126+SUM(E$99:E126)=D$92,F126,D$92-SUM(E$99:E126))</f>
        <v>2536518</v>
      </c>
      <c r="E127" s="484">
        <f t="shared" si="17"/>
        <v>208905</v>
      </c>
      <c r="F127" s="485">
        <f t="shared" si="18"/>
        <v>2327613</v>
      </c>
      <c r="G127" s="485">
        <f t="shared" si="19"/>
        <v>2432065.5</v>
      </c>
      <c r="H127" s="486">
        <f t="shared" si="20"/>
        <v>476876.42875734362</v>
      </c>
      <c r="I127" s="542">
        <f t="shared" si="21"/>
        <v>476876.42875734362</v>
      </c>
      <c r="J127" s="478">
        <f t="shared" si="15"/>
        <v>0</v>
      </c>
      <c r="K127" s="478"/>
      <c r="L127" s="487"/>
      <c r="M127" s="478">
        <f t="shared" si="22"/>
        <v>0</v>
      </c>
      <c r="N127" s="487"/>
      <c r="O127" s="478">
        <f t="shared" si="13"/>
        <v>0</v>
      </c>
      <c r="P127" s="478">
        <f t="shared" si="14"/>
        <v>0</v>
      </c>
    </row>
    <row r="128" spans="2:16">
      <c r="B128" s="160" t="str">
        <f t="shared" si="16"/>
        <v/>
      </c>
      <c r="C128" s="472">
        <f>IF(D93="","-",+C127+1)</f>
        <v>2048</v>
      </c>
      <c r="D128" s="347">
        <f>IF(F127+SUM(E$99:E127)=D$92,F127,D$92-SUM(E$99:E127))</f>
        <v>2327613</v>
      </c>
      <c r="E128" s="484">
        <f t="shared" si="17"/>
        <v>208905</v>
      </c>
      <c r="F128" s="485">
        <f t="shared" si="18"/>
        <v>2118708</v>
      </c>
      <c r="G128" s="485">
        <f t="shared" si="19"/>
        <v>2223160.5</v>
      </c>
      <c r="H128" s="486">
        <f t="shared" si="20"/>
        <v>453858.72165835602</v>
      </c>
      <c r="I128" s="542">
        <f t="shared" si="21"/>
        <v>453858.72165835602</v>
      </c>
      <c r="J128" s="478">
        <f t="shared" si="15"/>
        <v>0</v>
      </c>
      <c r="K128" s="478"/>
      <c r="L128" s="487"/>
      <c r="M128" s="478">
        <f t="shared" si="22"/>
        <v>0</v>
      </c>
      <c r="N128" s="487"/>
      <c r="O128" s="478">
        <f t="shared" si="13"/>
        <v>0</v>
      </c>
      <c r="P128" s="478">
        <f t="shared" si="14"/>
        <v>0</v>
      </c>
    </row>
    <row r="129" spans="2:16">
      <c r="B129" s="160" t="str">
        <f t="shared" si="16"/>
        <v/>
      </c>
      <c r="C129" s="472">
        <f>IF(D93="","-",+C128+1)</f>
        <v>2049</v>
      </c>
      <c r="D129" s="347">
        <f>IF(F128+SUM(E$99:E128)=D$92,F128,D$92-SUM(E$99:E128))</f>
        <v>2118708</v>
      </c>
      <c r="E129" s="484">
        <f t="shared" si="17"/>
        <v>208905</v>
      </c>
      <c r="F129" s="485">
        <f t="shared" si="18"/>
        <v>1909803</v>
      </c>
      <c r="G129" s="485">
        <f t="shared" si="19"/>
        <v>2014255.5</v>
      </c>
      <c r="H129" s="486">
        <f t="shared" si="20"/>
        <v>430841.01455936837</v>
      </c>
      <c r="I129" s="542">
        <f t="shared" si="21"/>
        <v>430841.01455936837</v>
      </c>
      <c r="J129" s="478">
        <f t="shared" si="15"/>
        <v>0</v>
      </c>
      <c r="K129" s="478"/>
      <c r="L129" s="487"/>
      <c r="M129" s="478">
        <f t="shared" si="22"/>
        <v>0</v>
      </c>
      <c r="N129" s="487"/>
      <c r="O129" s="478">
        <f t="shared" si="13"/>
        <v>0</v>
      </c>
      <c r="P129" s="478">
        <f t="shared" si="14"/>
        <v>0</v>
      </c>
    </row>
    <row r="130" spans="2:16">
      <c r="B130" s="160" t="str">
        <f t="shared" si="16"/>
        <v/>
      </c>
      <c r="C130" s="472">
        <f>IF(D93="","-",+C129+1)</f>
        <v>2050</v>
      </c>
      <c r="D130" s="347">
        <f>IF(F129+SUM(E$99:E129)=D$92,F129,D$92-SUM(E$99:E129))</f>
        <v>1909803</v>
      </c>
      <c r="E130" s="484">
        <f t="shared" si="17"/>
        <v>208905</v>
      </c>
      <c r="F130" s="485">
        <f t="shared" si="18"/>
        <v>1700898</v>
      </c>
      <c r="G130" s="485">
        <f t="shared" si="19"/>
        <v>1805350.5</v>
      </c>
      <c r="H130" s="486">
        <f t="shared" si="20"/>
        <v>407823.30746038078</v>
      </c>
      <c r="I130" s="542">
        <f t="shared" si="21"/>
        <v>407823.30746038078</v>
      </c>
      <c r="J130" s="478">
        <f t="shared" si="15"/>
        <v>0</v>
      </c>
      <c r="K130" s="478"/>
      <c r="L130" s="487"/>
      <c r="M130" s="478">
        <f t="shared" si="22"/>
        <v>0</v>
      </c>
      <c r="N130" s="487"/>
      <c r="O130" s="478">
        <f t="shared" si="13"/>
        <v>0</v>
      </c>
      <c r="P130" s="478">
        <f t="shared" si="14"/>
        <v>0</v>
      </c>
    </row>
    <row r="131" spans="2:16">
      <c r="B131" s="160" t="str">
        <f t="shared" si="16"/>
        <v/>
      </c>
      <c r="C131" s="472">
        <f>IF(D93="","-",+C130+1)</f>
        <v>2051</v>
      </c>
      <c r="D131" s="347">
        <f>IF(F130+SUM(E$99:E130)=D$92,F130,D$92-SUM(E$99:E130))</f>
        <v>1700898</v>
      </c>
      <c r="E131" s="484">
        <f t="shared" si="17"/>
        <v>208905</v>
      </c>
      <c r="F131" s="485">
        <f t="shared" si="18"/>
        <v>1491993</v>
      </c>
      <c r="G131" s="485">
        <f t="shared" si="19"/>
        <v>1596445.5</v>
      </c>
      <c r="H131" s="486">
        <f t="shared" si="20"/>
        <v>384805.60036139318</v>
      </c>
      <c r="I131" s="542">
        <f t="shared" si="21"/>
        <v>384805.60036139318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>
      <c r="B132" s="160" t="str">
        <f t="shared" si="16"/>
        <v/>
      </c>
      <c r="C132" s="472">
        <f>IF(D93="","-",+C131+1)</f>
        <v>2052</v>
      </c>
      <c r="D132" s="347">
        <f>IF(F131+SUM(E$99:E131)=D$92,F131,D$92-SUM(E$99:E131))</f>
        <v>1491993</v>
      </c>
      <c r="E132" s="484">
        <f t="shared" si="17"/>
        <v>208905</v>
      </c>
      <c r="F132" s="485">
        <f t="shared" si="18"/>
        <v>1283088</v>
      </c>
      <c r="G132" s="485">
        <f t="shared" si="19"/>
        <v>1387540.5</v>
      </c>
      <c r="H132" s="486">
        <f t="shared" si="20"/>
        <v>361787.89326240553</v>
      </c>
      <c r="I132" s="542">
        <f t="shared" si="21"/>
        <v>361787.89326240553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>
      <c r="B133" s="160" t="str">
        <f t="shared" si="16"/>
        <v/>
      </c>
      <c r="C133" s="472">
        <f>IF(D93="","-",+C132+1)</f>
        <v>2053</v>
      </c>
      <c r="D133" s="347">
        <f>IF(F132+SUM(E$99:E132)=D$92,F132,D$92-SUM(E$99:E132))</f>
        <v>1283088</v>
      </c>
      <c r="E133" s="484">
        <f t="shared" si="17"/>
        <v>208905</v>
      </c>
      <c r="F133" s="485">
        <f t="shared" si="18"/>
        <v>1074183</v>
      </c>
      <c r="G133" s="485">
        <f t="shared" si="19"/>
        <v>1178635.5</v>
      </c>
      <c r="H133" s="486">
        <f t="shared" si="20"/>
        <v>338770.18616341794</v>
      </c>
      <c r="I133" s="542">
        <f t="shared" si="21"/>
        <v>338770.18616341794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>
      <c r="B134" s="160" t="str">
        <f t="shared" si="16"/>
        <v/>
      </c>
      <c r="C134" s="472">
        <f>IF(D93="","-",+C133+1)</f>
        <v>2054</v>
      </c>
      <c r="D134" s="347">
        <f>IF(F133+SUM(E$99:E133)=D$92,F133,D$92-SUM(E$99:E133))</f>
        <v>1074183</v>
      </c>
      <c r="E134" s="484">
        <f t="shared" si="17"/>
        <v>208905</v>
      </c>
      <c r="F134" s="485">
        <f t="shared" si="18"/>
        <v>865278</v>
      </c>
      <c r="G134" s="485">
        <f t="shared" si="19"/>
        <v>969730.5</v>
      </c>
      <c r="H134" s="486">
        <f t="shared" si="20"/>
        <v>315752.47906443028</v>
      </c>
      <c r="I134" s="542">
        <f t="shared" si="21"/>
        <v>315752.47906443028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>
      <c r="B135" s="160" t="str">
        <f t="shared" si="16"/>
        <v/>
      </c>
      <c r="C135" s="472">
        <f>IF(D93="","-",+C134+1)</f>
        <v>2055</v>
      </c>
      <c r="D135" s="347">
        <f>IF(F134+SUM(E$99:E134)=D$92,F134,D$92-SUM(E$99:E134))</f>
        <v>865278</v>
      </c>
      <c r="E135" s="484">
        <f t="shared" si="17"/>
        <v>208905</v>
      </c>
      <c r="F135" s="485">
        <f t="shared" si="18"/>
        <v>656373</v>
      </c>
      <c r="G135" s="485">
        <f t="shared" si="19"/>
        <v>760825.5</v>
      </c>
      <c r="H135" s="486">
        <f t="shared" si="20"/>
        <v>292734.77196544269</v>
      </c>
      <c r="I135" s="542">
        <f t="shared" si="21"/>
        <v>292734.77196544269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>
      <c r="B136" s="160" t="str">
        <f t="shared" si="16"/>
        <v/>
      </c>
      <c r="C136" s="472">
        <f>IF(D93="","-",+C135+1)</f>
        <v>2056</v>
      </c>
      <c r="D136" s="347">
        <f>IF(F135+SUM(E$99:E135)=D$92,F135,D$92-SUM(E$99:E135))</f>
        <v>656373</v>
      </c>
      <c r="E136" s="484">
        <f t="shared" si="17"/>
        <v>208905</v>
      </c>
      <c r="F136" s="485">
        <f t="shared" si="18"/>
        <v>447468</v>
      </c>
      <c r="G136" s="485">
        <f t="shared" si="19"/>
        <v>551920.5</v>
      </c>
      <c r="H136" s="486">
        <f t="shared" si="20"/>
        <v>269717.06486645504</v>
      </c>
      <c r="I136" s="542">
        <f t="shared" si="21"/>
        <v>269717.06486645504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>
      <c r="B137" s="160" t="str">
        <f t="shared" si="16"/>
        <v/>
      </c>
      <c r="C137" s="472">
        <f>IF(D93="","-",+C136+1)</f>
        <v>2057</v>
      </c>
      <c r="D137" s="347">
        <f>IF(F136+SUM(E$99:E136)=D$92,F136,D$92-SUM(E$99:E136))</f>
        <v>447468</v>
      </c>
      <c r="E137" s="484">
        <f t="shared" si="17"/>
        <v>208905</v>
      </c>
      <c r="F137" s="485">
        <f t="shared" si="18"/>
        <v>238563</v>
      </c>
      <c r="G137" s="485">
        <f t="shared" si="19"/>
        <v>343015.5</v>
      </c>
      <c r="H137" s="486">
        <f t="shared" si="20"/>
        <v>246699.35776746745</v>
      </c>
      <c r="I137" s="542">
        <f t="shared" si="21"/>
        <v>246699.35776746745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>
      <c r="B138" s="160" t="str">
        <f t="shared" si="16"/>
        <v/>
      </c>
      <c r="C138" s="472">
        <f>IF(D93="","-",+C137+1)</f>
        <v>2058</v>
      </c>
      <c r="D138" s="347">
        <f>IF(F137+SUM(E$99:E137)=D$92,F137,D$92-SUM(E$99:E137))</f>
        <v>238563</v>
      </c>
      <c r="E138" s="484">
        <f t="shared" si="17"/>
        <v>208905</v>
      </c>
      <c r="F138" s="485">
        <f t="shared" si="18"/>
        <v>29658</v>
      </c>
      <c r="G138" s="485">
        <f t="shared" si="19"/>
        <v>134110.5</v>
      </c>
      <c r="H138" s="486">
        <f t="shared" si="20"/>
        <v>223681.65066847982</v>
      </c>
      <c r="I138" s="542">
        <f t="shared" si="21"/>
        <v>223681.65066847982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>
      <c r="B139" s="160" t="str">
        <f t="shared" si="16"/>
        <v/>
      </c>
      <c r="C139" s="472">
        <f>IF(D93="","-",+C138+1)</f>
        <v>2059</v>
      </c>
      <c r="D139" s="347">
        <f>IF(F138+SUM(E$99:E138)=D$92,F138,D$92-SUM(E$99:E138))</f>
        <v>29658</v>
      </c>
      <c r="E139" s="484">
        <f t="shared" si="17"/>
        <v>29658</v>
      </c>
      <c r="F139" s="485">
        <f t="shared" si="18"/>
        <v>0</v>
      </c>
      <c r="G139" s="485">
        <f t="shared" si="19"/>
        <v>14829</v>
      </c>
      <c r="H139" s="486">
        <f t="shared" si="20"/>
        <v>31291.898559493009</v>
      </c>
      <c r="I139" s="542">
        <f t="shared" si="21"/>
        <v>31291.898559493009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>
      <c r="B140" s="160" t="str">
        <f t="shared" si="16"/>
        <v/>
      </c>
      <c r="C140" s="472">
        <f>IF(D93="","-",+C139+1)</f>
        <v>2060</v>
      </c>
      <c r="D140" s="347">
        <f>IF(F139+SUM(E$99:E139)=D$92,F139,D$92-SUM(E$99:E139))</f>
        <v>0</v>
      </c>
      <c r="E140" s="484">
        <f t="shared" si="17"/>
        <v>0</v>
      </c>
      <c r="F140" s="485">
        <f t="shared" si="18"/>
        <v>0</v>
      </c>
      <c r="G140" s="485">
        <f t="shared" si="19"/>
        <v>0</v>
      </c>
      <c r="H140" s="486">
        <f t="shared" si="20"/>
        <v>0</v>
      </c>
      <c r="I140" s="542">
        <f t="shared" si="21"/>
        <v>0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>
      <c r="B141" s="160" t="str">
        <f t="shared" si="16"/>
        <v/>
      </c>
      <c r="C141" s="472">
        <f>IF(D93="","-",+C140+1)</f>
        <v>2061</v>
      </c>
      <c r="D141" s="347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486">
        <f t="shared" si="20"/>
        <v>0</v>
      </c>
      <c r="I141" s="542">
        <f t="shared" si="21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>
      <c r="B142" s="160" t="str">
        <f t="shared" si="16"/>
        <v/>
      </c>
      <c r="C142" s="472">
        <f>IF(D93="","-",+C141+1)</f>
        <v>2062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>
      <c r="B143" s="160" t="str">
        <f t="shared" si="16"/>
        <v/>
      </c>
      <c r="C143" s="472">
        <f>IF(D93="","-",+C142+1)</f>
        <v>2063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>
      <c r="B144" s="160" t="str">
        <f t="shared" si="16"/>
        <v/>
      </c>
      <c r="C144" s="472">
        <f>IF(D93="","-",+C143+1)</f>
        <v>2064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>
      <c r="B145" s="160" t="str">
        <f t="shared" si="16"/>
        <v/>
      </c>
      <c r="C145" s="472">
        <f>IF(D93="","-",+C144+1)</f>
        <v>2065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>
      <c r="B146" s="160" t="str">
        <f t="shared" si="16"/>
        <v/>
      </c>
      <c r="C146" s="472">
        <f>IF(D93="","-",+C145+1)</f>
        <v>2066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>
      <c r="B147" s="160" t="str">
        <f t="shared" si="16"/>
        <v/>
      </c>
      <c r="C147" s="472">
        <f>IF(D93="","-",+C146+1)</f>
        <v>2067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>
      <c r="B148" s="160" t="str">
        <f t="shared" si="16"/>
        <v/>
      </c>
      <c r="C148" s="472">
        <f>IF(D93="","-",+C147+1)</f>
        <v>2068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>
      <c r="B149" s="160" t="str">
        <f t="shared" si="16"/>
        <v/>
      </c>
      <c r="C149" s="472">
        <f>IF(D93="","-",+C148+1)</f>
        <v>2069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>
      <c r="B150" s="160" t="str">
        <f t="shared" si="16"/>
        <v/>
      </c>
      <c r="C150" s="472">
        <f>IF(D93="","-",+C149+1)</f>
        <v>2070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>
      <c r="B151" s="160" t="str">
        <f t="shared" si="16"/>
        <v/>
      </c>
      <c r="C151" s="472">
        <f>IF(D93="","-",+C150+1)</f>
        <v>2071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>
      <c r="B152" s="160" t="str">
        <f t="shared" si="16"/>
        <v/>
      </c>
      <c r="C152" s="472">
        <f>IF(D93="","-",+C151+1)</f>
        <v>2072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>
      <c r="B153" s="160" t="str">
        <f t="shared" si="16"/>
        <v/>
      </c>
      <c r="C153" s="472">
        <f>IF(D93="","-",+C152+1)</f>
        <v>2073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.5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7">+J$94*G154+E154</f>
        <v>0</v>
      </c>
      <c r="I154" s="614">
        <f t="shared" ref="I154" si="28">+J$95*G154+E154</f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>
      <c r="C155" s="347" t="s">
        <v>77</v>
      </c>
      <c r="D155" s="348"/>
      <c r="E155" s="348">
        <f>SUM(E99:E154)</f>
        <v>8147277</v>
      </c>
      <c r="F155" s="348"/>
      <c r="G155" s="348"/>
      <c r="H155" s="348">
        <f>SUM(H99:H154)</f>
        <v>26177254.153050233</v>
      </c>
      <c r="I155" s="348">
        <f>SUM(I99:I154)</f>
        <v>26177254.153050233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rgb="FF00B050"/>
  </sheetPr>
  <dimension ref="A1:S137"/>
  <sheetViews>
    <sheetView topLeftCell="E97" zoomScale="70" zoomScaleNormal="70" zoomScaleSheetLayoutView="100" workbookViewId="0">
      <selection activeCell="R132" sqref="R132:R135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0.7109375" style="148" customWidth="1"/>
    <col min="4" max="9" width="17.7109375" style="148" customWidth="1"/>
    <col min="10" max="10" width="17.7109375" style="148" bestFit="1" customWidth="1"/>
    <col min="11" max="11" width="2.140625" style="148" customWidth="1"/>
    <col min="12" max="15" width="17.7109375" style="148" customWidth="1"/>
    <col min="16" max="16" width="19.5703125" style="148" customWidth="1"/>
    <col min="17" max="17" width="2.140625" style="148" customWidth="1"/>
    <col min="18" max="18" width="16.42578125" style="148" customWidth="1"/>
    <col min="19" max="19" width="52.42578125" style="148" customWidth="1"/>
    <col min="20" max="16384" width="8.7109375" style="148"/>
  </cols>
  <sheetData>
    <row r="1" spans="1:19" ht="18">
      <c r="A1" s="718" t="str">
        <f>'PSO.WS.F.BPU.ATRR.Projected'!A1</f>
        <v xml:space="preserve">AEP West SPP Member Companies 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Q1" s="195"/>
      <c r="R1" s="195"/>
    </row>
    <row r="2" spans="1:19" ht="18">
      <c r="A2" s="718" t="str">
        <f>'PSO.WS.F.BPU.ATRR.Projected'!A2</f>
        <v>2023 Cost of Service Formula Rate Projected on 2022 FF1 Balances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Q2" s="240" t="s">
        <v>125</v>
      </c>
      <c r="R2" s="195"/>
    </row>
    <row r="3" spans="1:19" ht="18">
      <c r="A3" s="721" t="s">
        <v>141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Q3" s="195"/>
      <c r="R3" s="195"/>
    </row>
    <row r="4" spans="1:19" ht="18">
      <c r="A4" s="720" t="str">
        <f>"Based on a Carrying Charge Derived from ""Trued-Up"" "&amp;M16&amp;" Data"</f>
        <v>Based on a Carrying Charge Derived from "Trued-Up" 2022 Data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Q4" s="195"/>
      <c r="R4" s="195"/>
    </row>
    <row r="5" spans="1:19" ht="18">
      <c r="A5" s="726" t="str">
        <f>'PSO.WS.F.BPU.ATRR.Projected'!A5</f>
        <v>PUBLIC SERVICE COMPANY OF OKLAHOMA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Q5" s="195"/>
      <c r="R5" s="195"/>
    </row>
    <row r="6" spans="1:19" ht="20.25">
      <c r="A6" s="374"/>
      <c r="C6" s="304"/>
      <c r="D6" s="160"/>
      <c r="I6" s="217"/>
      <c r="K6" s="195"/>
      <c r="Q6" s="195"/>
      <c r="R6" s="195"/>
    </row>
    <row r="7" spans="1:19">
      <c r="D7" s="160"/>
      <c r="I7" s="217"/>
      <c r="K7" s="195"/>
      <c r="Q7" s="195"/>
      <c r="R7" s="195"/>
    </row>
    <row r="8" spans="1:19" ht="38.25" customHeight="1">
      <c r="B8" s="244" t="s">
        <v>0</v>
      </c>
      <c r="C8" s="723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724"/>
      <c r="E8" s="724"/>
      <c r="F8" s="724"/>
      <c r="G8" s="724"/>
      <c r="H8" s="724"/>
      <c r="I8" s="724"/>
      <c r="K8" s="195"/>
      <c r="Q8" s="195"/>
      <c r="R8" s="195"/>
    </row>
    <row r="9" spans="1:19" ht="15.75" customHeight="1">
      <c r="C9" s="375"/>
      <c r="D9" s="375"/>
      <c r="E9" s="375"/>
      <c r="F9" s="375"/>
      <c r="G9" s="375"/>
      <c r="H9" s="375"/>
      <c r="I9" s="375"/>
      <c r="K9" s="195"/>
      <c r="Q9" s="195"/>
      <c r="R9" s="195"/>
    </row>
    <row r="10" spans="1:19" ht="15.7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7"/>
      <c r="K10" s="195"/>
      <c r="Q10" s="195"/>
      <c r="R10" s="195"/>
    </row>
    <row r="11" spans="1:19">
      <c r="D11" s="160"/>
      <c r="I11" s="217"/>
      <c r="K11" s="195"/>
      <c r="Q11" s="195"/>
      <c r="R11" s="195"/>
    </row>
    <row r="12" spans="1:19">
      <c r="C12" s="248" t="str">
        <f>S105</f>
        <v xml:space="preserve">   ROE w/o incentives  (TCOS, ln 143)</v>
      </c>
      <c r="D12" s="160"/>
      <c r="E12" s="249"/>
      <c r="F12" s="250">
        <f>+R105</f>
        <v>0.105</v>
      </c>
      <c r="G12" s="250"/>
      <c r="H12" s="251"/>
      <c r="I12" s="252"/>
      <c r="J12" s="253"/>
      <c r="K12" s="254"/>
      <c r="L12" s="253"/>
      <c r="M12" s="253"/>
      <c r="N12" s="253"/>
      <c r="O12" s="253"/>
      <c r="P12" s="253"/>
      <c r="Q12" s="254"/>
      <c r="R12" s="243"/>
      <c r="S12" s="233"/>
    </row>
    <row r="13" spans="1:19" ht="13.5" thickBot="1">
      <c r="C13" s="248" t="s">
        <v>1</v>
      </c>
      <c r="D13" s="160"/>
      <c r="E13" s="249"/>
      <c r="F13" s="376">
        <f>R106</f>
        <v>0</v>
      </c>
      <c r="G13" s="377" t="s">
        <v>152</v>
      </c>
      <c r="L13" s="253"/>
      <c r="M13" s="253"/>
      <c r="N13" s="253"/>
      <c r="O13" s="253"/>
      <c r="P13" s="253"/>
      <c r="Q13" s="254"/>
      <c r="R13" s="243"/>
      <c r="S13" s="233"/>
    </row>
    <row r="14" spans="1:19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0.105</v>
      </c>
      <c r="G14" s="257" t="s">
        <v>2</v>
      </c>
      <c r="I14" s="253"/>
      <c r="J14" s="253"/>
      <c r="K14" s="254"/>
      <c r="L14" s="378" t="s">
        <v>89</v>
      </c>
      <c r="M14" s="379"/>
      <c r="N14" s="379"/>
      <c r="O14" s="379"/>
      <c r="P14" s="380"/>
      <c r="Q14" s="254"/>
      <c r="R14" s="243"/>
      <c r="S14" s="233"/>
    </row>
    <row r="15" spans="1:19">
      <c r="C15" s="248" t="s">
        <v>232</v>
      </c>
      <c r="D15" s="160"/>
      <c r="E15" s="249"/>
      <c r="F15" s="256"/>
      <c r="G15" s="256"/>
      <c r="H15" s="249"/>
      <c r="I15" s="253"/>
      <c r="J15" s="253"/>
      <c r="K15" s="254"/>
      <c r="L15" s="266"/>
      <c r="M15" s="254"/>
      <c r="N15" s="254" t="s">
        <v>8</v>
      </c>
      <c r="O15" s="254" t="s">
        <v>9</v>
      </c>
      <c r="P15" s="268" t="s">
        <v>10</v>
      </c>
      <c r="Q15" s="254"/>
      <c r="R15" s="243"/>
      <c r="S15" s="233"/>
    </row>
    <row r="16" spans="1:19">
      <c r="C16" s="254"/>
      <c r="D16" s="258" t="s">
        <v>4</v>
      </c>
      <c r="E16" s="258" t="s">
        <v>5</v>
      </c>
      <c r="F16" s="259" t="s">
        <v>6</v>
      </c>
      <c r="G16" s="259"/>
      <c r="H16" s="249"/>
      <c r="I16" s="253"/>
      <c r="J16" s="253"/>
      <c r="K16" s="254"/>
      <c r="L16" s="266" t="s">
        <v>90</v>
      </c>
      <c r="M16" s="381">
        <f>+R104</f>
        <v>2022</v>
      </c>
      <c r="N16" s="195"/>
      <c r="O16" s="195"/>
      <c r="P16" s="273"/>
      <c r="Q16" s="254"/>
      <c r="R16" s="243"/>
      <c r="S16" s="233"/>
    </row>
    <row r="17" spans="3:19">
      <c r="C17" s="260" t="s">
        <v>7</v>
      </c>
      <c r="D17" s="261">
        <f>R107</f>
        <v>0.48252552295362283</v>
      </c>
      <c r="E17" s="262">
        <f>R108</f>
        <v>3.5506510185686534E-2</v>
      </c>
      <c r="F17" s="382">
        <f>E17*D17</f>
        <v>1.7132797395606532E-2</v>
      </c>
      <c r="G17" s="382"/>
      <c r="H17" s="249"/>
      <c r="I17" s="253"/>
      <c r="J17" s="264"/>
      <c r="K17" s="265"/>
      <c r="L17" s="272"/>
      <c r="M17" s="383" t="s">
        <v>219</v>
      </c>
      <c r="N17" s="384">
        <f>SUM('P.001:P.xyz - blank'!M87)</f>
        <v>8173098.1037967186</v>
      </c>
      <c r="O17" s="384">
        <f>SUM('P.001:P.xyz - blank'!N87)</f>
        <v>8173098.1037967186</v>
      </c>
      <c r="P17" s="385">
        <f>+O17-N17</f>
        <v>0</v>
      </c>
      <c r="Q17" s="265"/>
      <c r="R17" s="243"/>
      <c r="S17" s="233"/>
    </row>
    <row r="18" spans="3:19" ht="13.5" thickBot="1">
      <c r="C18" s="260" t="s">
        <v>11</v>
      </c>
      <c r="D18" s="261">
        <f>R109</f>
        <v>0</v>
      </c>
      <c r="E18" s="262">
        <f>R110</f>
        <v>0</v>
      </c>
      <c r="F18" s="382">
        <f>E18*D18</f>
        <v>0</v>
      </c>
      <c r="G18" s="382"/>
      <c r="H18" s="269"/>
      <c r="I18" s="269"/>
      <c r="J18" s="270"/>
      <c r="K18" s="271"/>
      <c r="L18" s="272"/>
      <c r="M18" s="386" t="s">
        <v>218</v>
      </c>
      <c r="N18" s="387">
        <f>SUM('P.001:P.xyz - blank'!M88)</f>
        <v>8362863.3214887884</v>
      </c>
      <c r="O18" s="387">
        <f>SUM('P.001:P.xyz - blank'!N88)</f>
        <v>8362863.3214887884</v>
      </c>
      <c r="P18" s="279">
        <f>+O18-N18</f>
        <v>0</v>
      </c>
      <c r="Q18" s="271"/>
      <c r="R18" s="243"/>
      <c r="S18" s="233"/>
    </row>
    <row r="19" spans="3:19">
      <c r="C19" s="274" t="s">
        <v>12</v>
      </c>
      <c r="D19" s="261">
        <f>R111</f>
        <v>0.51747447704637717</v>
      </c>
      <c r="E19" s="262">
        <f>+F14</f>
        <v>0.105</v>
      </c>
      <c r="F19" s="388">
        <f>E19*D19</f>
        <v>5.4334820089869604E-2</v>
      </c>
      <c r="G19" s="388"/>
      <c r="H19" s="269"/>
      <c r="I19" s="269"/>
      <c r="J19" s="256"/>
      <c r="K19" s="271"/>
      <c r="L19" s="272"/>
      <c r="M19" s="389" t="str">
        <f>"True-up Adjustment For "&amp;M16&amp;""</f>
        <v>True-up Adjustment For 2022</v>
      </c>
      <c r="N19" s="390">
        <f>+N18-N17</f>
        <v>189765.21769206971</v>
      </c>
      <c r="O19" s="390">
        <f>+O18-O17</f>
        <v>189765.21769206971</v>
      </c>
      <c r="P19" s="391">
        <f>+P18-P17</f>
        <v>0</v>
      </c>
      <c r="Q19" s="271"/>
      <c r="R19" s="243"/>
      <c r="S19" s="233"/>
    </row>
    <row r="20" spans="3:19">
      <c r="C20" s="248"/>
      <c r="D20" s="249"/>
      <c r="E20" s="280" t="s">
        <v>14</v>
      </c>
      <c r="F20" s="382">
        <f>SUM(F17:F19)</f>
        <v>7.1467617485476143E-2</v>
      </c>
      <c r="G20" s="382"/>
      <c r="H20" s="392"/>
      <c r="I20" s="269"/>
      <c r="J20" s="270"/>
      <c r="K20" s="271"/>
      <c r="L20" s="272"/>
      <c r="M20" s="195"/>
      <c r="N20" s="281" t="str">
        <f>IF(ROUND(N19,0)=ROUND(SUM('P.001:P.xyz - blank'!M89),0),"","ERROR")</f>
        <v/>
      </c>
      <c r="O20" s="281" t="str">
        <f>IF(ROUND(O19,0)=ROUND(SUM('P.001:P.xyz - blank'!N89),0),"","ERROR")</f>
        <v/>
      </c>
      <c r="P20" s="281" t="str">
        <f>IF(P19=SUM('P.001:P.xyz - blank'!O89),"","ERROR")</f>
        <v/>
      </c>
      <c r="Q20" s="271"/>
      <c r="R20" s="243"/>
      <c r="S20" s="233"/>
    </row>
    <row r="21" spans="3:19" ht="13.5" thickBot="1">
      <c r="D21" s="282"/>
      <c r="E21" s="282"/>
      <c r="F21" s="269"/>
      <c r="G21" s="269"/>
      <c r="H21" s="269"/>
      <c r="I21" s="269"/>
      <c r="J21" s="269"/>
      <c r="K21" s="283"/>
      <c r="L21" s="393"/>
      <c r="M21" s="394"/>
      <c r="N21" s="395"/>
      <c r="O21" s="395"/>
      <c r="P21" s="279"/>
      <c r="Q21" s="283"/>
      <c r="R21" s="243"/>
      <c r="S21" s="233"/>
    </row>
    <row r="22" spans="3:19" ht="15.7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84"/>
      <c r="H22" s="269"/>
      <c r="I22" s="249"/>
      <c r="J22" s="269"/>
      <c r="K22" s="283"/>
      <c r="L22" s="269"/>
      <c r="M22" s="269"/>
      <c r="N22" s="269"/>
      <c r="O22" s="269"/>
      <c r="P22" s="269"/>
      <c r="Q22" s="283"/>
      <c r="R22" s="243"/>
      <c r="S22" s="233"/>
    </row>
    <row r="23" spans="3:19">
      <c r="C23" s="254"/>
      <c r="D23" s="282"/>
      <c r="E23" s="282"/>
      <c r="F23" s="283"/>
      <c r="G23" s="283"/>
      <c r="H23" s="283"/>
      <c r="I23" s="283"/>
      <c r="J23" s="283"/>
      <c r="K23" s="283"/>
      <c r="L23" s="178" t="s">
        <v>15</v>
      </c>
      <c r="M23" s="283"/>
      <c r="N23" s="283"/>
      <c r="O23" s="283"/>
      <c r="P23" s="283"/>
      <c r="Q23" s="283"/>
      <c r="R23" s="243"/>
      <c r="S23" s="233"/>
    </row>
    <row r="24" spans="3:19">
      <c r="C24" s="248" t="str">
        <f>S112</f>
        <v xml:space="preserve">   Rate Base  (TCOS, ln 63)</v>
      </c>
      <c r="D24" s="249"/>
      <c r="E24" s="286">
        <f>R112</f>
        <v>617267700.34473765</v>
      </c>
      <c r="F24" s="287"/>
      <c r="G24" s="287"/>
      <c r="H24" s="283"/>
      <c r="I24" s="283"/>
      <c r="J24" s="283"/>
      <c r="K24" s="283"/>
      <c r="L24" s="148" t="s">
        <v>16</v>
      </c>
      <c r="M24" s="283"/>
      <c r="N24" s="283"/>
      <c r="O24" s="283"/>
      <c r="P24" s="287"/>
      <c r="Q24" s="283"/>
      <c r="R24" s="243"/>
      <c r="S24" s="233"/>
    </row>
    <row r="25" spans="3:19">
      <c r="C25" s="254" t="s">
        <v>17</v>
      </c>
      <c r="D25" s="251"/>
      <c r="E25" s="288">
        <f>F20</f>
        <v>7.1467617485476143E-2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43"/>
      <c r="S25" s="233"/>
    </row>
    <row r="26" spans="3:19">
      <c r="C26" s="289" t="s">
        <v>18</v>
      </c>
      <c r="D26" s="289"/>
      <c r="E26" s="270">
        <f>E24*E25</f>
        <v>44114651.894377217</v>
      </c>
      <c r="F26" s="283"/>
      <c r="G26" s="283"/>
      <c r="H26" s="283"/>
      <c r="I26" s="283"/>
      <c r="J26" s="271"/>
      <c r="K26" s="271"/>
      <c r="L26" s="271"/>
      <c r="M26" s="271"/>
      <c r="N26" s="271"/>
      <c r="O26" s="271"/>
      <c r="P26" s="283"/>
      <c r="Q26" s="271"/>
      <c r="R26" s="243"/>
      <c r="S26" s="233"/>
    </row>
    <row r="27" spans="3:19">
      <c r="C27" s="290"/>
      <c r="D27" s="253"/>
      <c r="E27" s="253"/>
      <c r="F27" s="283"/>
      <c r="G27" s="283"/>
      <c r="H27" s="283"/>
      <c r="I27" s="283"/>
      <c r="J27" s="271"/>
      <c r="K27" s="271"/>
      <c r="L27" s="271"/>
      <c r="M27" s="271"/>
      <c r="N27" s="271"/>
      <c r="O27" s="271"/>
      <c r="P27" s="283"/>
      <c r="Q27" s="271"/>
      <c r="R27" s="243"/>
      <c r="S27" s="233"/>
    </row>
    <row r="28" spans="3:19" ht="15.7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2"/>
      <c r="J28" s="293"/>
      <c r="K28" s="293"/>
      <c r="L28" s="293"/>
      <c r="M28" s="293"/>
      <c r="N28" s="293"/>
      <c r="O28" s="293"/>
      <c r="P28" s="292"/>
      <c r="Q28" s="293"/>
      <c r="R28" s="243"/>
      <c r="S28" s="233"/>
    </row>
    <row r="29" spans="3:19">
      <c r="C29" s="248"/>
      <c r="D29" s="253"/>
      <c r="E29" s="253"/>
      <c r="F29" s="283"/>
      <c r="G29" s="283"/>
      <c r="H29" s="283"/>
      <c r="I29" s="283"/>
      <c r="J29" s="271"/>
      <c r="K29" s="271"/>
      <c r="L29" s="271"/>
      <c r="M29" s="271"/>
      <c r="N29" s="271"/>
      <c r="O29" s="271"/>
      <c r="P29" s="283"/>
      <c r="Q29" s="271"/>
      <c r="R29" s="243"/>
      <c r="S29" s="233"/>
    </row>
    <row r="30" spans="3:19">
      <c r="C30" s="254" t="s">
        <v>19</v>
      </c>
      <c r="D30" s="280"/>
      <c r="E30" s="294">
        <f>E26</f>
        <v>44114651.894377217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43"/>
      <c r="S30" s="233"/>
    </row>
    <row r="31" spans="3:19">
      <c r="C31" s="248" t="str">
        <f>S113</f>
        <v xml:space="preserve">   Tax Rate  (TCOS, ln 99)</v>
      </c>
      <c r="D31" s="280"/>
      <c r="E31" s="295">
        <f>R113</f>
        <v>0.24025699999999994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43"/>
      <c r="S31" s="233"/>
    </row>
    <row r="32" spans="3:19">
      <c r="C32" s="254" t="s">
        <v>20</v>
      </c>
      <c r="D32" s="241"/>
      <c r="E32" s="256">
        <f>IF(F17&gt;0,($E31/(1-$E31))*(1-$F17/$F20),0)</f>
        <v>0.24042425095763537</v>
      </c>
      <c r="F32" s="233"/>
      <c r="G32" s="233"/>
      <c r="H32" s="233"/>
      <c r="I32" s="242"/>
      <c r="J32" s="233"/>
      <c r="K32" s="243"/>
      <c r="L32" s="233"/>
      <c r="M32" s="233"/>
      <c r="N32" s="233"/>
      <c r="O32" s="233"/>
      <c r="P32" s="233"/>
      <c r="Q32" s="243"/>
      <c r="R32" s="243"/>
      <c r="S32" s="339"/>
    </row>
    <row r="33" spans="2:19">
      <c r="C33" s="290" t="s">
        <v>21</v>
      </c>
      <c r="D33" s="241"/>
      <c r="E33" s="297">
        <f>E30*E32</f>
        <v>10606232.137962472</v>
      </c>
      <c r="F33" s="233"/>
      <c r="G33" s="233"/>
      <c r="H33" s="233"/>
      <c r="I33" s="242"/>
      <c r="J33" s="233"/>
      <c r="K33" s="243"/>
      <c r="L33" s="233"/>
      <c r="M33" s="233"/>
      <c r="N33" s="233"/>
      <c r="O33" s="233"/>
      <c r="P33" s="233"/>
      <c r="Q33" s="243"/>
      <c r="R33" s="243"/>
      <c r="S33" s="233"/>
    </row>
    <row r="34" spans="2:19" ht="15">
      <c r="C34" s="248" t="str">
        <f>+S114</f>
        <v xml:space="preserve">   ITC Adjustment  (TCOS, ln 108)</v>
      </c>
      <c r="D34" s="298"/>
      <c r="E34" s="299">
        <f>R114</f>
        <v>-316894.79520343029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  <c r="R34" s="243"/>
      <c r="S34" s="233"/>
    </row>
    <row r="35" spans="2:19" ht="15">
      <c r="C35" s="306" t="str">
        <f>+S115</f>
        <v xml:space="preserve">   Excess DFIT Adjustment  (TCOS, ln 109)</v>
      </c>
      <c r="D35" s="298"/>
      <c r="E35" s="299">
        <f>R115</f>
        <v>-4910706.8813780537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  <c r="R35" s="243"/>
      <c r="S35" s="233"/>
    </row>
    <row r="36" spans="2:19" ht="15">
      <c r="C36" s="306" t="str">
        <f>+S116</f>
        <v xml:space="preserve">   Tax Effect of Permanent and Flow Through Differences (TCOS, ln 110)</v>
      </c>
      <c r="D36" s="298"/>
      <c r="E36" s="299">
        <f>R116</f>
        <v>92660.478609213882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  <c r="R36" s="243"/>
      <c r="S36" s="233"/>
    </row>
    <row r="37" spans="2:19" ht="15">
      <c r="C37" s="290" t="s">
        <v>22</v>
      </c>
      <c r="D37" s="298"/>
      <c r="E37" s="299">
        <f>E33+E34+E35+E36</f>
        <v>5471290.939990201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  <c r="R37" s="243"/>
      <c r="S37" s="233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43"/>
      <c r="S38" s="233"/>
    </row>
    <row r="39" spans="2:19" ht="18.75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43"/>
      <c r="S39" s="233"/>
    </row>
    <row r="40" spans="2:19" ht="18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4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43"/>
      <c r="S41" s="233"/>
    </row>
    <row r="42" spans="2:19" ht="15.75">
      <c r="C42" s="245" t="s">
        <v>24</v>
      </c>
      <c r="D42" s="298"/>
      <c r="E42" s="298"/>
      <c r="F42" s="305"/>
      <c r="G42" s="305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43"/>
      <c r="S42" s="233"/>
    </row>
    <row r="43" spans="2:19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43"/>
      <c r="S43" s="233"/>
    </row>
    <row r="44" spans="2:19" ht="12.75" customHeight="1">
      <c r="B44" s="233"/>
      <c r="C44" s="248" t="str">
        <f>S117</f>
        <v xml:space="preserve">   Net Revenue Requirement  (TCOS, ln 117)</v>
      </c>
      <c r="D44" s="307"/>
      <c r="E44" s="307"/>
      <c r="F44" s="299">
        <f>R117</f>
        <v>103383426.57443693</v>
      </c>
      <c r="G44" s="299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43"/>
      <c r="S44" s="233"/>
    </row>
    <row r="45" spans="2:19">
      <c r="B45" s="233"/>
      <c r="C45" s="248" t="str">
        <f>S118</f>
        <v xml:space="preserve">   Return  (TCOS, ln 112)</v>
      </c>
      <c r="D45" s="307"/>
      <c r="E45" s="307"/>
      <c r="F45" s="299">
        <f>R118</f>
        <v>44114651.894377217</v>
      </c>
      <c r="G45" s="308"/>
      <c r="H45" s="309"/>
      <c r="I45" s="309"/>
      <c r="J45" s="309"/>
      <c r="K45" s="309"/>
      <c r="L45" s="309"/>
      <c r="M45" s="309"/>
      <c r="N45" s="309"/>
      <c r="O45" s="309"/>
      <c r="P45" s="299"/>
      <c r="Q45" s="309"/>
      <c r="R45" s="243"/>
      <c r="S45" s="233"/>
    </row>
    <row r="46" spans="2:19">
      <c r="B46" s="233"/>
      <c r="C46" s="248" t="str">
        <f>S119</f>
        <v xml:space="preserve">   Income Taxes  (TCOS, ln 111)</v>
      </c>
      <c r="D46" s="307"/>
      <c r="E46" s="307"/>
      <c r="F46" s="299">
        <f>R119</f>
        <v>5471290.939990201</v>
      </c>
      <c r="G46" s="299"/>
      <c r="H46" s="307"/>
      <c r="I46" s="307"/>
      <c r="J46" s="310"/>
      <c r="K46" s="310"/>
      <c r="L46" s="310"/>
      <c r="M46" s="310"/>
      <c r="N46" s="310"/>
      <c r="O46" s="310"/>
      <c r="P46" s="307"/>
      <c r="Q46" s="310"/>
      <c r="R46" s="243"/>
      <c r="S46" s="233"/>
    </row>
    <row r="47" spans="2:19">
      <c r="B47" s="233"/>
      <c r="C47" s="248" t="str">
        <f>S120</f>
        <v xml:space="preserve">  Gross Margin Taxes  (TCOS, ln 116)</v>
      </c>
      <c r="D47" s="307"/>
      <c r="E47" s="307"/>
      <c r="F47" s="311">
        <f>R120</f>
        <v>0</v>
      </c>
      <c r="G47" s="299"/>
      <c r="H47" s="307"/>
      <c r="I47" s="307"/>
      <c r="J47" s="310"/>
      <c r="K47" s="310"/>
      <c r="L47" s="310"/>
      <c r="M47" s="310"/>
      <c r="N47" s="310"/>
      <c r="O47" s="310"/>
      <c r="P47" s="307"/>
      <c r="Q47" s="310"/>
      <c r="R47" s="243"/>
      <c r="S47" s="233"/>
    </row>
    <row r="48" spans="2:19">
      <c r="B48" s="233"/>
      <c r="C48" s="312" t="s">
        <v>25</v>
      </c>
      <c r="D48" s="307"/>
      <c r="E48" s="307"/>
      <c r="F48" s="308">
        <f>F44-F45-F46-F47</f>
        <v>53797483.740069516</v>
      </c>
      <c r="G48" s="308"/>
      <c r="H48" s="313"/>
      <c r="I48" s="307"/>
      <c r="J48" s="313"/>
      <c r="K48" s="313"/>
      <c r="L48" s="313"/>
      <c r="M48" s="313"/>
      <c r="N48" s="313"/>
      <c r="O48" s="313"/>
      <c r="P48" s="313"/>
      <c r="Q48" s="313"/>
      <c r="R48" s="243"/>
      <c r="S48" s="233"/>
    </row>
    <row r="49" spans="2:19">
      <c r="B49" s="233"/>
      <c r="C49" s="306"/>
      <c r="D49" s="307"/>
      <c r="E49" s="307"/>
      <c r="F49" s="299"/>
      <c r="G49" s="299"/>
      <c r="H49" s="314"/>
      <c r="I49" s="315"/>
      <c r="J49" s="315"/>
      <c r="K49" s="315"/>
      <c r="L49" s="315"/>
      <c r="M49" s="315"/>
      <c r="N49" s="315"/>
      <c r="O49" s="315"/>
      <c r="P49" s="315"/>
      <c r="Q49" s="315"/>
      <c r="R49" s="243"/>
      <c r="S49" s="233"/>
    </row>
    <row r="50" spans="2:19" ht="15.7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299"/>
      <c r="H50" s="314"/>
      <c r="I50" s="315"/>
      <c r="J50" s="315"/>
      <c r="K50" s="315"/>
      <c r="L50" s="315"/>
      <c r="M50" s="315"/>
      <c r="N50" s="315"/>
      <c r="O50" s="315"/>
      <c r="P50" s="315"/>
      <c r="Q50" s="315"/>
      <c r="R50" s="243"/>
      <c r="S50" s="233"/>
    </row>
    <row r="51" spans="2:19">
      <c r="B51" s="233"/>
      <c r="C51" s="306"/>
      <c r="D51" s="316"/>
      <c r="E51" s="316"/>
      <c r="F51" s="299"/>
      <c r="G51" s="299"/>
      <c r="H51" s="314"/>
      <c r="I51" s="315"/>
      <c r="J51" s="315"/>
      <c r="K51" s="315"/>
      <c r="L51" s="315"/>
      <c r="M51" s="315"/>
      <c r="N51" s="315"/>
      <c r="O51" s="315"/>
      <c r="P51" s="315"/>
      <c r="Q51" s="315"/>
      <c r="R51" s="243"/>
      <c r="S51" s="233"/>
    </row>
    <row r="52" spans="2:19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53797483.740069516</v>
      </c>
      <c r="G52" s="299"/>
      <c r="H52" s="307"/>
      <c r="I52" s="307"/>
      <c r="J52" s="307"/>
      <c r="K52" s="307"/>
      <c r="L52" s="307"/>
      <c r="M52" s="307"/>
      <c r="N52" s="307"/>
      <c r="O52" s="307"/>
      <c r="P52" s="319"/>
      <c r="Q52" s="307"/>
      <c r="R52" s="243"/>
      <c r="S52" s="233"/>
    </row>
    <row r="53" spans="2:19">
      <c r="B53" s="233"/>
      <c r="C53" s="254" t="s">
        <v>103</v>
      </c>
      <c r="D53" s="321"/>
      <c r="E53" s="312"/>
      <c r="F53" s="322">
        <f>E26</f>
        <v>44114651.894377217</v>
      </c>
      <c r="G53" s="322"/>
      <c r="H53" s="312"/>
      <c r="I53" s="323"/>
      <c r="J53" s="312"/>
      <c r="K53" s="312"/>
      <c r="L53" s="312"/>
      <c r="M53" s="312"/>
      <c r="N53" s="312"/>
      <c r="O53" s="312"/>
      <c r="P53" s="312"/>
      <c r="Q53" s="312"/>
      <c r="R53" s="243"/>
      <c r="S53" s="233"/>
    </row>
    <row r="54" spans="2:19" ht="12.75" customHeight="1">
      <c r="B54" s="233"/>
      <c r="C54" s="248" t="s">
        <v>26</v>
      </c>
      <c r="D54" s="307"/>
      <c r="E54" s="307"/>
      <c r="F54" s="396">
        <f>E37</f>
        <v>5471290.939990201</v>
      </c>
      <c r="G54" s="324"/>
      <c r="H54" s="233"/>
      <c r="I54" s="242"/>
      <c r="J54" s="233"/>
      <c r="K54" s="243"/>
      <c r="L54" s="233"/>
      <c r="M54" s="233"/>
      <c r="N54" s="233"/>
      <c r="O54" s="233"/>
      <c r="P54" s="233"/>
      <c r="Q54" s="243"/>
      <c r="R54" s="243"/>
      <c r="S54" s="233"/>
    </row>
    <row r="55" spans="2:19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103383426.57443695</v>
      </c>
      <c r="G55" s="297"/>
      <c r="H55" s="233"/>
      <c r="I55" s="242"/>
      <c r="J55" s="233"/>
      <c r="K55" s="243"/>
      <c r="L55" s="233"/>
      <c r="M55" s="233"/>
      <c r="N55" s="233"/>
      <c r="O55" s="233"/>
      <c r="P55" s="233"/>
      <c r="Q55" s="243"/>
      <c r="R55" s="243"/>
      <c r="S55" s="233"/>
    </row>
    <row r="56" spans="2:19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322"/>
      <c r="H56" s="233"/>
      <c r="I56" s="242"/>
      <c r="J56" s="233"/>
      <c r="K56" s="243"/>
      <c r="L56" s="233"/>
      <c r="M56" s="233"/>
      <c r="N56" s="233"/>
      <c r="O56" s="233"/>
      <c r="P56" s="233"/>
      <c r="Q56" s="243"/>
      <c r="R56" s="243"/>
      <c r="S56" s="233"/>
    </row>
    <row r="57" spans="2:19">
      <c r="B57" s="233"/>
      <c r="C57" s="312" t="s">
        <v>27</v>
      </c>
      <c r="D57" s="241"/>
      <c r="E57" s="233"/>
      <c r="F57" s="328">
        <f>+F55+F56</f>
        <v>103383426.57443695</v>
      </c>
      <c r="G57" s="328"/>
      <c r="H57" s="233"/>
      <c r="I57" s="242"/>
      <c r="J57" s="233"/>
      <c r="K57" s="243"/>
      <c r="L57" s="233"/>
      <c r="M57" s="233"/>
      <c r="N57" s="233"/>
      <c r="O57" s="233"/>
      <c r="P57" s="233"/>
      <c r="Q57" s="243"/>
      <c r="R57" s="243"/>
      <c r="S57" s="233"/>
    </row>
    <row r="58" spans="2:19">
      <c r="B58" s="233"/>
      <c r="C58" s="248" t="str">
        <f>S121</f>
        <v xml:space="preserve">   Less: Depreciation  (TCOS, ln 86)</v>
      </c>
      <c r="D58" s="241"/>
      <c r="E58" s="233"/>
      <c r="F58" s="329">
        <f>R121</f>
        <v>24079868.827204313</v>
      </c>
      <c r="G58" s="329"/>
      <c r="H58" s="233"/>
      <c r="I58" s="242"/>
      <c r="J58" s="233"/>
      <c r="K58" s="243"/>
      <c r="L58" s="233"/>
      <c r="M58" s="233"/>
      <c r="N58" s="233"/>
      <c r="O58" s="233"/>
      <c r="P58" s="233"/>
      <c r="Q58" s="243"/>
      <c r="R58" s="243"/>
      <c r="S58" s="233"/>
    </row>
    <row r="59" spans="2:19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79303557.747232631</v>
      </c>
      <c r="G59" s="297"/>
      <c r="H59" s="233"/>
      <c r="I59" s="242"/>
      <c r="J59" s="233"/>
      <c r="K59" s="243"/>
      <c r="L59" s="233"/>
      <c r="M59" s="233"/>
      <c r="N59" s="233"/>
      <c r="O59" s="233"/>
      <c r="P59" s="233"/>
      <c r="Q59" s="243"/>
      <c r="R59" s="243"/>
      <c r="S59" s="233"/>
    </row>
    <row r="60" spans="2:19">
      <c r="B60" s="233"/>
      <c r="C60" s="233"/>
      <c r="D60" s="241"/>
      <c r="E60" s="233"/>
      <c r="F60" s="233"/>
      <c r="G60" s="233"/>
      <c r="H60" s="233"/>
      <c r="I60" s="242"/>
      <c r="J60" s="233"/>
      <c r="K60" s="243"/>
      <c r="L60" s="233"/>
      <c r="M60" s="233"/>
      <c r="N60" s="233"/>
      <c r="O60" s="233"/>
      <c r="P60" s="233"/>
      <c r="Q60" s="243"/>
      <c r="R60" s="243"/>
      <c r="S60" s="233"/>
    </row>
    <row r="61" spans="2:19" ht="15.75">
      <c r="B61" s="233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3"/>
      <c r="H61" s="330"/>
      <c r="I61" s="242"/>
      <c r="J61" s="233"/>
      <c r="K61" s="243"/>
      <c r="L61" s="233"/>
      <c r="M61" s="233"/>
      <c r="N61" s="233"/>
      <c r="O61" s="233"/>
      <c r="P61" s="233"/>
      <c r="Q61" s="243"/>
      <c r="R61" s="243"/>
      <c r="S61" s="233"/>
    </row>
    <row r="62" spans="2:19">
      <c r="B62" s="233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103383426.57443695</v>
      </c>
      <c r="G62" s="333"/>
      <c r="H62" s="330"/>
      <c r="I62" s="242"/>
      <c r="J62" s="233"/>
      <c r="K62" s="243"/>
      <c r="L62" s="233"/>
      <c r="M62" s="233"/>
      <c r="N62" s="233"/>
      <c r="O62" s="233"/>
      <c r="P62" s="233"/>
      <c r="Q62" s="243"/>
      <c r="R62" s="243"/>
      <c r="S62" s="233"/>
    </row>
    <row r="63" spans="2:19">
      <c r="B63" s="233"/>
      <c r="C63" s="325" t="s">
        <v>28</v>
      </c>
      <c r="D63" s="332"/>
      <c r="E63" s="332"/>
      <c r="F63" s="333"/>
      <c r="G63" s="333"/>
      <c r="H63" s="330"/>
      <c r="I63" s="242"/>
      <c r="J63" s="233"/>
      <c r="K63" s="243"/>
      <c r="L63" s="233"/>
      <c r="M63" s="233"/>
      <c r="N63" s="233"/>
      <c r="O63" s="233"/>
      <c r="P63" s="233"/>
      <c r="Q63" s="243"/>
      <c r="R63" s="243"/>
      <c r="S63" s="233"/>
    </row>
    <row r="64" spans="2:19">
      <c r="B64" s="233"/>
      <c r="C64" s="312" t="str">
        <f>S122</f>
        <v xml:space="preserve">       Apportionment Factor to Texas (Worksheet K, ln 12)</v>
      </c>
      <c r="D64" s="296"/>
      <c r="E64" s="330"/>
      <c r="F64" s="335">
        <f>R122</f>
        <v>0</v>
      </c>
      <c r="G64" s="397"/>
      <c r="H64" s="330"/>
      <c r="I64" s="242"/>
      <c r="J64" s="233"/>
      <c r="K64" s="243"/>
      <c r="L64" s="233"/>
      <c r="M64" s="233"/>
      <c r="N64" s="233"/>
      <c r="O64" s="233"/>
      <c r="P64" s="233"/>
      <c r="Q64" s="243"/>
      <c r="R64" s="243"/>
      <c r="S64" s="233"/>
    </row>
    <row r="65" spans="2:19">
      <c r="B65" s="233"/>
      <c r="C65" s="312" t="s">
        <v>29</v>
      </c>
      <c r="D65" s="296"/>
      <c r="E65" s="330"/>
      <c r="F65" s="333">
        <f>+F64*F62</f>
        <v>0</v>
      </c>
      <c r="G65" s="333"/>
      <c r="H65" s="330"/>
      <c r="I65" s="242"/>
      <c r="J65" s="233"/>
      <c r="K65" s="243"/>
      <c r="L65" s="233"/>
      <c r="M65" s="233"/>
      <c r="N65" s="233"/>
      <c r="O65" s="233"/>
      <c r="P65" s="233"/>
      <c r="Q65" s="243"/>
      <c r="R65" s="243"/>
      <c r="S65" s="233"/>
    </row>
    <row r="66" spans="2:19">
      <c r="B66" s="233"/>
      <c r="C66" s="312" t="str">
        <f>+'PSO.WS.F.BPU.ATRR.Projected'!C66</f>
        <v xml:space="preserve">       Taxable Percentage of Revenue (22%)</v>
      </c>
      <c r="D66" s="296"/>
      <c r="E66" s="330"/>
      <c r="F66" s="336">
        <f>+'PSO.WS.F.BPU.ATRR.Projected'!F66</f>
        <v>0.22</v>
      </c>
      <c r="G66" s="398"/>
      <c r="H66" s="330"/>
      <c r="I66" s="242"/>
      <c r="J66" s="233"/>
      <c r="K66" s="243"/>
      <c r="L66" s="233"/>
      <c r="M66" s="233"/>
      <c r="N66" s="233"/>
      <c r="O66" s="233"/>
      <c r="P66" s="233"/>
      <c r="Q66" s="243"/>
      <c r="R66" s="243"/>
      <c r="S66" s="233"/>
    </row>
    <row r="67" spans="2:19">
      <c r="B67" s="233"/>
      <c r="C67" s="312" t="s">
        <v>30</v>
      </c>
      <c r="D67" s="296"/>
      <c r="E67" s="330"/>
      <c r="F67" s="333">
        <f>+F65*F66</f>
        <v>0</v>
      </c>
      <c r="G67" s="333"/>
      <c r="H67" s="330"/>
      <c r="I67" s="242"/>
      <c r="J67" s="233"/>
      <c r="K67" s="243"/>
      <c r="L67" s="233"/>
      <c r="M67" s="233"/>
      <c r="N67" s="233"/>
      <c r="O67" s="233"/>
      <c r="P67" s="233"/>
      <c r="Q67" s="243"/>
      <c r="R67" s="243"/>
      <c r="S67" s="233"/>
    </row>
    <row r="68" spans="2:19">
      <c r="B68" s="233"/>
      <c r="C68" s="312" t="s">
        <v>31</v>
      </c>
      <c r="D68" s="296"/>
      <c r="E68" s="330"/>
      <c r="F68" s="336">
        <v>0.01</v>
      </c>
      <c r="G68" s="398"/>
      <c r="H68" s="330"/>
      <c r="I68" s="242"/>
      <c r="J68" s="233"/>
      <c r="K68" s="243"/>
      <c r="L68" s="233"/>
      <c r="M68" s="233"/>
      <c r="N68" s="233"/>
      <c r="O68" s="233"/>
      <c r="P68" s="233"/>
      <c r="Q68" s="243"/>
      <c r="R68" s="243"/>
      <c r="S68" s="233"/>
    </row>
    <row r="69" spans="2:19">
      <c r="B69" s="233"/>
      <c r="C69" s="312" t="s">
        <v>32</v>
      </c>
      <c r="D69" s="296"/>
      <c r="E69" s="330"/>
      <c r="F69" s="333">
        <f>+F67*F68</f>
        <v>0</v>
      </c>
      <c r="G69" s="333"/>
      <c r="H69" s="330"/>
      <c r="I69" s="242"/>
      <c r="J69" s="233"/>
      <c r="K69" s="243"/>
      <c r="L69" s="233"/>
      <c r="M69" s="233"/>
      <c r="N69" s="233"/>
      <c r="O69" s="233"/>
      <c r="P69" s="233"/>
      <c r="Q69" s="243"/>
      <c r="R69" s="243"/>
      <c r="S69" s="233"/>
    </row>
    <row r="70" spans="2:19">
      <c r="B70" s="233"/>
      <c r="C70" s="312" t="s">
        <v>33</v>
      </c>
      <c r="D70" s="296"/>
      <c r="E70" s="330"/>
      <c r="F70" s="337">
        <f>+ROUND((F69*F66*F64)/(1-F68)*F68,0)</f>
        <v>0</v>
      </c>
      <c r="G70" s="399"/>
      <c r="H70" s="330"/>
      <c r="I70" s="242"/>
      <c r="J70" s="233"/>
      <c r="K70" s="243"/>
      <c r="L70" s="233"/>
      <c r="M70" s="233"/>
      <c r="N70" s="233"/>
      <c r="O70" s="233"/>
      <c r="P70" s="233"/>
      <c r="Q70" s="243"/>
      <c r="R70" s="243"/>
      <c r="S70" s="233"/>
    </row>
    <row r="71" spans="2:19">
      <c r="B71" s="233"/>
      <c r="C71" s="312" t="s">
        <v>34</v>
      </c>
      <c r="D71" s="296"/>
      <c r="E71" s="330"/>
      <c r="F71" s="333">
        <f>+F69+F70</f>
        <v>0</v>
      </c>
      <c r="G71" s="333"/>
      <c r="H71" s="330"/>
      <c r="I71" s="242"/>
      <c r="J71" s="233"/>
      <c r="K71" s="243"/>
      <c r="L71" s="233"/>
      <c r="M71" s="233"/>
      <c r="N71" s="233"/>
      <c r="O71" s="233"/>
      <c r="P71" s="233"/>
      <c r="Q71" s="243"/>
      <c r="R71" s="243"/>
      <c r="S71" s="233"/>
    </row>
    <row r="72" spans="2:19">
      <c r="B72" s="233"/>
      <c r="C72" s="233"/>
      <c r="D72" s="241"/>
      <c r="E72" s="233"/>
      <c r="F72" s="233"/>
      <c r="G72" s="233"/>
      <c r="H72" s="233"/>
      <c r="I72" s="242"/>
      <c r="J72" s="233"/>
      <c r="K72" s="243"/>
      <c r="L72" s="233"/>
      <c r="M72" s="233"/>
      <c r="N72" s="233"/>
      <c r="O72" s="233"/>
      <c r="P72" s="233"/>
      <c r="Q72" s="243"/>
      <c r="R72" s="243"/>
      <c r="S72" s="233"/>
    </row>
    <row r="73" spans="2:19" ht="15.7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33"/>
      <c r="I73" s="217"/>
      <c r="J73" s="233"/>
      <c r="K73" s="243"/>
      <c r="L73" s="233"/>
      <c r="M73" s="233"/>
      <c r="N73" s="233"/>
      <c r="O73" s="233"/>
      <c r="P73" s="233"/>
      <c r="Q73" s="243"/>
      <c r="R73" s="243"/>
      <c r="S73" s="233"/>
    </row>
    <row r="74" spans="2:19">
      <c r="B74" s="233"/>
      <c r="C74" s="233"/>
      <c r="D74" s="241"/>
      <c r="E74" s="233"/>
      <c r="F74" s="233"/>
      <c r="G74" s="233"/>
      <c r="H74" s="233"/>
      <c r="I74" s="242"/>
      <c r="J74" s="233"/>
      <c r="K74" s="243"/>
      <c r="L74" s="233"/>
      <c r="M74" s="233"/>
      <c r="N74" s="233"/>
      <c r="O74" s="233"/>
      <c r="P74" s="233"/>
      <c r="Q74" s="243"/>
      <c r="R74" s="243"/>
      <c r="S74" s="233"/>
    </row>
    <row r="75" spans="2:19">
      <c r="B75" s="233"/>
      <c r="C75" s="306" t="str">
        <f>S123</f>
        <v xml:space="preserve">   Net Transmission Plant  (TCOS, ln 37)</v>
      </c>
      <c r="D75" s="241"/>
      <c r="E75" s="233"/>
      <c r="F75" s="297">
        <f>R123</f>
        <v>719746309.21923101</v>
      </c>
      <c r="G75" s="297"/>
      <c r="I75" s="217"/>
      <c r="J75" s="233"/>
      <c r="K75" s="243"/>
      <c r="L75" s="233"/>
      <c r="M75" s="233"/>
      <c r="N75" s="233"/>
      <c r="O75" s="233"/>
      <c r="P75" s="233"/>
      <c r="Q75" s="243"/>
      <c r="R75" s="243"/>
      <c r="S75" s="233"/>
    </row>
    <row r="76" spans="2:19" ht="15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400">
        <f>+F57</f>
        <v>103383426.57443695</v>
      </c>
      <c r="G76" s="400"/>
      <c r="I76" s="217"/>
      <c r="J76" s="233"/>
      <c r="K76" s="243"/>
      <c r="L76" s="233"/>
      <c r="M76" s="233"/>
      <c r="N76" s="233"/>
      <c r="O76" s="233"/>
      <c r="P76" s="233"/>
      <c r="Q76" s="243"/>
      <c r="R76" s="243"/>
      <c r="S76" s="233"/>
    </row>
    <row r="77" spans="2:19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0.14363870331837561</v>
      </c>
      <c r="G77" s="339"/>
      <c r="I77" s="217"/>
      <c r="J77" s="233"/>
      <c r="K77" s="243"/>
      <c r="L77" s="233"/>
      <c r="M77" s="233"/>
      <c r="N77" s="233"/>
      <c r="O77" s="233"/>
      <c r="P77" s="233"/>
      <c r="Q77" s="243"/>
      <c r="R77" s="243"/>
      <c r="S77" s="233"/>
    </row>
    <row r="78" spans="2:19">
      <c r="B78" s="233"/>
      <c r="D78" s="241"/>
      <c r="E78" s="233"/>
      <c r="F78" s="330"/>
      <c r="G78" s="330"/>
      <c r="H78" s="401"/>
      <c r="I78" s="217"/>
      <c r="J78" s="233"/>
      <c r="K78" s="243"/>
      <c r="L78" s="233"/>
      <c r="M78" s="233"/>
      <c r="N78" s="233"/>
      <c r="O78" s="233"/>
      <c r="P78" s="233"/>
      <c r="Q78" s="243"/>
      <c r="R78" s="243"/>
      <c r="S78" s="233"/>
    </row>
    <row r="79" spans="2:19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+F59</f>
        <v>79303557.747232631</v>
      </c>
      <c r="G79" s="297"/>
      <c r="I79" s="217"/>
      <c r="J79" s="233"/>
      <c r="K79" s="243"/>
      <c r="L79" s="233"/>
      <c r="M79" s="233"/>
      <c r="N79" s="233"/>
      <c r="O79" s="233"/>
      <c r="P79" s="233"/>
      <c r="Q79" s="243"/>
      <c r="R79" s="243"/>
      <c r="S79" s="233"/>
    </row>
    <row r="80" spans="2:19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0.11018265287564979</v>
      </c>
      <c r="G80" s="339"/>
      <c r="H80" s="246"/>
      <c r="I80" s="217"/>
      <c r="J80" s="233"/>
      <c r="K80" s="243"/>
      <c r="L80" s="233"/>
      <c r="M80" s="233"/>
      <c r="N80" s="233"/>
      <c r="O80" s="233"/>
      <c r="P80" s="233"/>
      <c r="Q80" s="243"/>
      <c r="R80" s="243"/>
      <c r="S80" s="233"/>
    </row>
    <row r="81" spans="2:19">
      <c r="B81" s="233"/>
      <c r="C81" s="306" t="str">
        <f>S124</f>
        <v xml:space="preserve">   FCR less Depreciation  (TCOS, ln 10)</v>
      </c>
      <c r="D81" s="241"/>
      <c r="E81" s="233"/>
      <c r="F81" s="340">
        <f>R124</f>
        <v>0.11018265287564978</v>
      </c>
      <c r="G81" s="340"/>
      <c r="H81" s="402"/>
      <c r="I81" s="217"/>
      <c r="J81" s="233"/>
      <c r="K81" s="243"/>
      <c r="L81" s="233"/>
      <c r="M81" s="233"/>
      <c r="N81" s="233"/>
      <c r="O81" s="233"/>
      <c r="P81" s="233"/>
      <c r="Q81" s="243"/>
      <c r="R81" s="243"/>
      <c r="S81" s="233"/>
    </row>
    <row r="82" spans="2:19">
      <c r="B82" s="233"/>
      <c r="C82" s="312" t="str">
        <f>"   Incremental FCR with "&amp;F13&amp;" Basis Point ROE increase, less Depreciation"</f>
        <v xml:space="preserve">   Incremental FCR with 0 Basis Point ROE increase, less Depreciation</v>
      </c>
      <c r="D82" s="241"/>
      <c r="E82" s="233"/>
      <c r="F82" s="339">
        <f>F80-F81</f>
        <v>0</v>
      </c>
      <c r="G82" s="339"/>
      <c r="I82" s="217"/>
      <c r="J82" s="233"/>
      <c r="K82" s="243"/>
      <c r="L82" s="233"/>
      <c r="M82" s="233"/>
      <c r="N82" s="233"/>
      <c r="O82" s="233"/>
      <c r="P82" s="233"/>
      <c r="Q82" s="243"/>
      <c r="R82" s="243"/>
      <c r="S82" s="233"/>
    </row>
    <row r="83" spans="2:19">
      <c r="B83" s="233"/>
      <c r="C83" s="312"/>
      <c r="D83" s="241"/>
      <c r="E83" s="233"/>
      <c r="F83" s="339"/>
      <c r="G83" s="339"/>
      <c r="H83" s="233"/>
      <c r="I83" s="242"/>
      <c r="J83" s="233"/>
      <c r="K83" s="243"/>
      <c r="L83" s="233"/>
      <c r="M83" s="233"/>
      <c r="N83" s="233"/>
      <c r="O83" s="233"/>
      <c r="P83" s="233"/>
      <c r="Q83" s="243"/>
      <c r="R83" s="243"/>
      <c r="S83" s="233"/>
    </row>
    <row r="84" spans="2:19" ht="18.75">
      <c r="B84" s="303" t="s">
        <v>35</v>
      </c>
      <c r="C84" s="304" t="s">
        <v>36</v>
      </c>
      <c r="D84" s="241"/>
      <c r="E84" s="233"/>
      <c r="F84" s="339"/>
      <c r="G84" s="339"/>
      <c r="H84" s="233"/>
      <c r="I84" s="242"/>
      <c r="J84" s="233"/>
      <c r="K84" s="243"/>
      <c r="L84" s="233"/>
      <c r="M84" s="233"/>
      <c r="N84" s="233"/>
      <c r="O84" s="233"/>
      <c r="P84" s="233"/>
      <c r="Q84" s="243"/>
      <c r="R84" s="243"/>
      <c r="S84" s="233"/>
    </row>
    <row r="85" spans="2:19" ht="12.75" customHeight="1">
      <c r="B85" s="303"/>
      <c r="C85" s="304"/>
      <c r="D85" s="241"/>
      <c r="E85" s="233"/>
      <c r="F85" s="339"/>
      <c r="G85" s="339"/>
      <c r="H85" s="233"/>
      <c r="I85" s="242"/>
      <c r="J85" s="233"/>
      <c r="K85" s="243"/>
      <c r="L85" s="233"/>
      <c r="M85" s="233"/>
      <c r="N85" s="233"/>
      <c r="O85" s="233"/>
      <c r="P85" s="233"/>
      <c r="Q85" s="243"/>
      <c r="R85" s="243"/>
      <c r="S85" s="233"/>
    </row>
    <row r="86" spans="2:19" ht="12.75" customHeight="1">
      <c r="B86" s="303"/>
      <c r="C86" s="312" t="s">
        <v>37</v>
      </c>
      <c r="D86" s="241"/>
      <c r="F86" s="334">
        <f>R125</f>
        <v>1107616715</v>
      </c>
      <c r="G86" s="233" t="s">
        <v>280</v>
      </c>
      <c r="I86" s="242"/>
      <c r="J86" s="233"/>
      <c r="K86" s="243"/>
      <c r="L86" s="233"/>
      <c r="M86" s="233"/>
      <c r="N86" s="233"/>
      <c r="O86" s="233"/>
      <c r="P86" s="233"/>
      <c r="Q86" s="243"/>
      <c r="R86" s="243"/>
      <c r="S86" s="233"/>
    </row>
    <row r="87" spans="2:19" ht="12.75" customHeight="1">
      <c r="B87" s="303"/>
      <c r="C87" s="312" t="s">
        <v>38</v>
      </c>
      <c r="D87" s="241"/>
      <c r="F87" s="341">
        <f>R126</f>
        <v>1164352861</v>
      </c>
      <c r="G87" s="233" t="s">
        <v>280</v>
      </c>
      <c r="I87" s="242"/>
      <c r="J87" s="233"/>
      <c r="K87" s="243"/>
      <c r="L87" s="233"/>
      <c r="M87" s="233"/>
      <c r="N87" s="233"/>
      <c r="O87" s="233"/>
      <c r="P87" s="233"/>
      <c r="Q87" s="243"/>
      <c r="R87" s="243"/>
      <c r="S87" s="233"/>
    </row>
    <row r="88" spans="2:19" ht="12.75" customHeight="1">
      <c r="B88" s="303"/>
      <c r="C88" s="312"/>
      <c r="D88" s="241"/>
      <c r="F88" s="242">
        <f>+F87+F86</f>
        <v>2271969576</v>
      </c>
      <c r="G88" s="242"/>
      <c r="H88" s="233"/>
      <c r="I88" s="242"/>
      <c r="J88" s="233"/>
      <c r="K88" s="243"/>
      <c r="L88" s="233"/>
      <c r="M88" s="233"/>
      <c r="N88" s="233"/>
      <c r="O88" s="233"/>
      <c r="P88" s="233"/>
      <c r="Q88" s="243"/>
      <c r="R88" s="243"/>
      <c r="S88" s="233"/>
    </row>
    <row r="89" spans="2:19">
      <c r="B89" s="233"/>
      <c r="C89" s="312" t="str">
        <f>+S127</f>
        <v>Transmission Plant Average Balance for 2022 (WS A-1 Ln 14 Col (d))</v>
      </c>
      <c r="D89" s="296"/>
      <c r="E89" s="155"/>
      <c r="F89" s="323">
        <f>+F88/2</f>
        <v>1135984788</v>
      </c>
      <c r="G89" s="323"/>
      <c r="I89" s="242"/>
      <c r="J89" s="233"/>
      <c r="K89" s="243"/>
      <c r="L89" s="233"/>
      <c r="M89" s="233"/>
      <c r="N89" s="233"/>
      <c r="O89" s="233"/>
      <c r="P89" s="233"/>
      <c r="Q89" s="243"/>
      <c r="R89" s="243"/>
      <c r="S89" s="233"/>
    </row>
    <row r="90" spans="2:19">
      <c r="B90" s="233"/>
      <c r="C90" s="248" t="str">
        <f>S128</f>
        <v>Annual Depreciation Expense  (TCOS, ln 86)</v>
      </c>
      <c r="D90" s="296"/>
      <c r="E90" s="330"/>
      <c r="F90" s="323">
        <f>R128</f>
        <v>29197009</v>
      </c>
      <c r="G90" s="323"/>
      <c r="I90" s="242"/>
      <c r="J90" s="233"/>
      <c r="K90" s="243"/>
      <c r="L90" s="233"/>
      <c r="M90" s="233"/>
      <c r="N90" s="233"/>
      <c r="O90" s="233"/>
      <c r="P90" s="233"/>
      <c r="Q90" s="243"/>
      <c r="R90" s="243"/>
      <c r="S90" s="233"/>
    </row>
    <row r="91" spans="2:19">
      <c r="B91" s="233"/>
      <c r="C91" s="312" t="s">
        <v>39</v>
      </c>
      <c r="D91" s="241"/>
      <c r="E91" s="233"/>
      <c r="F91" s="339">
        <f>IF(F89=0,0,F90/F89)</f>
        <v>2.5701936600228487E-2</v>
      </c>
      <c r="G91" s="339"/>
      <c r="H91" s="233"/>
      <c r="I91" s="343"/>
      <c r="J91" s="233"/>
      <c r="K91" s="243"/>
      <c r="L91" s="233"/>
      <c r="M91" s="233"/>
      <c r="N91" s="233"/>
      <c r="O91" s="233"/>
      <c r="P91" s="233"/>
      <c r="Q91" s="243"/>
      <c r="R91" s="243"/>
      <c r="S91" s="233"/>
    </row>
    <row r="92" spans="2:19">
      <c r="B92" s="233"/>
      <c r="C92" s="312" t="s">
        <v>40</v>
      </c>
      <c r="D92" s="241"/>
      <c r="E92" s="233"/>
      <c r="F92" s="344">
        <f>IF(F91=0,0,1/F91)</f>
        <v>38.907573991568796</v>
      </c>
      <c r="G92" s="344"/>
      <c r="H92" s="233"/>
      <c r="I92" s="242"/>
      <c r="J92" s="233"/>
      <c r="K92" s="243"/>
      <c r="L92" s="233"/>
      <c r="M92" s="233"/>
      <c r="N92" s="233"/>
      <c r="O92" s="233"/>
      <c r="P92" s="233"/>
      <c r="Q92" s="243"/>
      <c r="R92" s="243"/>
      <c r="S92" s="233"/>
    </row>
    <row r="93" spans="2:19">
      <c r="B93" s="233"/>
      <c r="C93" s="312" t="s">
        <v>41</v>
      </c>
      <c r="D93" s="241"/>
      <c r="E93" s="233"/>
      <c r="F93" s="345">
        <f>ROUND(F92,0)</f>
        <v>39</v>
      </c>
      <c r="G93" s="345"/>
      <c r="H93" s="233"/>
      <c r="I93" s="242"/>
      <c r="J93" s="233"/>
      <c r="K93" s="243"/>
      <c r="L93" s="233"/>
      <c r="M93" s="233"/>
      <c r="N93" s="233"/>
      <c r="O93" s="233"/>
      <c r="P93" s="233"/>
      <c r="Q93" s="243"/>
      <c r="R93" s="243"/>
      <c r="S93" s="233"/>
    </row>
    <row r="94" spans="2:19">
      <c r="B94" s="233"/>
      <c r="C94" s="312"/>
      <c r="D94" s="241"/>
      <c r="E94" s="233"/>
      <c r="F94" s="345"/>
      <c r="G94" s="345"/>
      <c r="H94" s="233"/>
      <c r="I94" s="242"/>
      <c r="J94" s="233"/>
      <c r="K94" s="243"/>
      <c r="L94" s="233"/>
      <c r="M94" s="233"/>
      <c r="N94" s="233"/>
      <c r="O94" s="233"/>
      <c r="P94" s="233"/>
      <c r="Q94" s="243"/>
      <c r="R94" s="243"/>
      <c r="S94" s="233"/>
    </row>
    <row r="95" spans="2:19">
      <c r="B95" s="233"/>
      <c r="C95" s="312"/>
      <c r="D95" s="241"/>
      <c r="E95" s="233"/>
      <c r="F95" s="345"/>
      <c r="G95" s="345"/>
      <c r="H95" s="233"/>
      <c r="I95" s="242"/>
      <c r="J95" s="233"/>
      <c r="K95" s="243"/>
      <c r="L95" s="233"/>
      <c r="M95" s="233"/>
      <c r="N95" s="233"/>
      <c r="O95" s="233"/>
      <c r="P95" s="233"/>
      <c r="Q95" s="243"/>
      <c r="R95" s="243"/>
      <c r="S95" s="233"/>
    </row>
    <row r="96" spans="2:19">
      <c r="B96" s="233"/>
      <c r="C96" s="312"/>
      <c r="D96" s="241"/>
      <c r="E96" s="233"/>
      <c r="F96" s="345"/>
      <c r="G96" s="345"/>
      <c r="H96" s="233"/>
      <c r="I96" s="242"/>
      <c r="J96" s="233"/>
      <c r="K96" s="243"/>
      <c r="L96" s="233"/>
      <c r="M96" s="233"/>
      <c r="N96" s="233"/>
      <c r="O96" s="233"/>
      <c r="P96" s="233"/>
      <c r="Q96" s="243"/>
      <c r="R96" s="243"/>
      <c r="S96" s="233"/>
    </row>
    <row r="97" spans="3:19">
      <c r="C97" s="233"/>
      <c r="D97" s="241"/>
      <c r="E97" s="233"/>
      <c r="F97" s="233"/>
      <c r="G97" s="233"/>
      <c r="H97" s="233"/>
      <c r="I97" s="242"/>
      <c r="J97" s="233"/>
      <c r="K97" s="243"/>
      <c r="L97" s="233"/>
      <c r="M97" s="233"/>
      <c r="N97" s="233"/>
      <c r="O97" s="233"/>
      <c r="P97" s="233"/>
      <c r="Q97" s="243"/>
      <c r="R97" s="350" t="s">
        <v>126</v>
      </c>
      <c r="S97" s="234" t="s">
        <v>132</v>
      </c>
    </row>
    <row r="98" spans="3:19">
      <c r="C98" s="233"/>
      <c r="D98" s="241"/>
      <c r="E98" s="233"/>
      <c r="F98" s="233"/>
      <c r="G98" s="233"/>
      <c r="H98" s="233"/>
      <c r="I98" s="242"/>
      <c r="J98" s="233"/>
      <c r="K98" s="243"/>
      <c r="L98" s="233"/>
      <c r="M98" s="233"/>
      <c r="N98" s="233"/>
      <c r="O98" s="233"/>
      <c r="P98" s="233"/>
      <c r="Q98" s="243"/>
    </row>
    <row r="99" spans="3:19">
      <c r="C99" s="240" t="s">
        <v>122</v>
      </c>
      <c r="J99" s="195"/>
      <c r="L99" s="240" t="s">
        <v>121</v>
      </c>
      <c r="N99" s="233"/>
      <c r="O99" s="233"/>
      <c r="P99" s="233"/>
      <c r="Q99" s="243"/>
    </row>
    <row r="100" spans="3:19">
      <c r="C100" s="233"/>
      <c r="D100" s="241"/>
      <c r="E100" s="233"/>
      <c r="F100" s="233"/>
      <c r="G100" s="233"/>
      <c r="H100" s="233"/>
      <c r="I100" s="242"/>
      <c r="J100" s="233"/>
      <c r="K100" s="243"/>
      <c r="L100" s="233"/>
      <c r="M100" s="233"/>
      <c r="N100" s="233"/>
      <c r="O100" s="233"/>
      <c r="P100" s="233"/>
      <c r="Q100" s="243"/>
      <c r="S100" s="234" t="s">
        <v>119</v>
      </c>
    </row>
    <row r="101" spans="3:19">
      <c r="C101" s="233"/>
      <c r="D101" s="241"/>
      <c r="E101" s="233"/>
      <c r="F101" s="233"/>
      <c r="G101" s="233"/>
      <c r="H101" s="233"/>
      <c r="I101" s="242"/>
      <c r="J101" s="233"/>
      <c r="K101" s="243"/>
      <c r="L101" s="233"/>
      <c r="M101" s="233"/>
      <c r="N101" s="233"/>
      <c r="O101" s="233"/>
      <c r="P101" s="233"/>
      <c r="Q101" s="243"/>
      <c r="R101" s="350" t="s">
        <v>115</v>
      </c>
      <c r="S101" s="204" t="s">
        <v>135</v>
      </c>
    </row>
    <row r="102" spans="3:19" ht="13.5" thickBot="1">
      <c r="C102" s="233"/>
      <c r="D102" s="241"/>
      <c r="E102" s="233"/>
      <c r="F102" s="233"/>
      <c r="G102" s="233"/>
      <c r="H102" s="233"/>
      <c r="I102" s="242"/>
      <c r="J102" s="233"/>
      <c r="K102" s="243"/>
      <c r="L102" s="233"/>
      <c r="M102" s="233"/>
      <c r="N102" s="233"/>
      <c r="O102" s="233"/>
      <c r="P102" s="233"/>
      <c r="Q102" s="243"/>
      <c r="R102" s="351" t="s">
        <v>227</v>
      </c>
    </row>
    <row r="103" spans="3:19">
      <c r="C103" s="233"/>
      <c r="D103" s="241"/>
      <c r="E103" s="233"/>
      <c r="F103" s="233"/>
      <c r="G103" s="233"/>
      <c r="H103" s="233"/>
      <c r="I103" s="242"/>
      <c r="J103" s="233"/>
      <c r="K103" s="243"/>
      <c r="L103" s="233"/>
      <c r="M103" s="233"/>
      <c r="N103" s="233"/>
      <c r="O103" s="233"/>
      <c r="P103" s="233"/>
      <c r="Q103" s="243"/>
      <c r="R103" s="403" t="s">
        <v>212</v>
      </c>
      <c r="S103" s="404" t="s">
        <v>143</v>
      </c>
    </row>
    <row r="104" spans="3:19">
      <c r="C104" s="233"/>
      <c r="D104" s="241"/>
      <c r="E104" s="233"/>
      <c r="F104" s="233"/>
      <c r="G104" s="233"/>
      <c r="H104" s="233"/>
      <c r="I104" s="242"/>
      <c r="J104" s="233"/>
      <c r="K104" s="243"/>
      <c r="L104" s="233"/>
      <c r="M104" s="233"/>
      <c r="N104" s="233"/>
      <c r="O104" s="233"/>
      <c r="P104" s="233"/>
      <c r="Q104" s="243"/>
      <c r="R104" s="405">
        <v>2022</v>
      </c>
      <c r="S104" s="273" t="s">
        <v>94</v>
      </c>
    </row>
    <row r="105" spans="3:19">
      <c r="C105" s="233"/>
      <c r="D105" s="241"/>
      <c r="E105" s="233"/>
      <c r="F105" s="233"/>
      <c r="G105" s="233"/>
      <c r="H105" s="233"/>
      <c r="I105" s="242"/>
      <c r="J105" s="233"/>
      <c r="K105" s="243"/>
      <c r="L105" s="233"/>
      <c r="M105" s="233"/>
      <c r="N105" s="233"/>
      <c r="O105" s="233"/>
      <c r="P105" s="233"/>
      <c r="Q105" s="243"/>
      <c r="R105" s="406">
        <v>0.105</v>
      </c>
      <c r="S105" s="355" t="s">
        <v>352</v>
      </c>
    </row>
    <row r="106" spans="3:19">
      <c r="C106" s="233"/>
      <c r="D106" s="241"/>
      <c r="E106" s="233"/>
      <c r="F106" s="233"/>
      <c r="G106" s="233"/>
      <c r="H106" s="233"/>
      <c r="I106" s="242"/>
      <c r="J106" s="233"/>
      <c r="K106" s="243"/>
      <c r="L106" s="233"/>
      <c r="M106" s="233"/>
      <c r="N106" s="233"/>
      <c r="O106" s="233"/>
      <c r="P106" s="233"/>
      <c r="Q106" s="243"/>
      <c r="R106" s="407">
        <v>0</v>
      </c>
      <c r="S106" s="355" t="s">
        <v>1</v>
      </c>
    </row>
    <row r="107" spans="3:19">
      <c r="C107" s="233"/>
      <c r="D107" s="241"/>
      <c r="E107" s="233"/>
      <c r="F107" s="233"/>
      <c r="G107" s="233"/>
      <c r="H107" s="233"/>
      <c r="I107" s="242"/>
      <c r="J107" s="233"/>
      <c r="K107" s="243"/>
      <c r="L107" s="233"/>
      <c r="M107" s="233"/>
      <c r="N107" s="233"/>
      <c r="O107" s="233"/>
      <c r="P107" s="233"/>
      <c r="Q107" s="243"/>
      <c r="R107" s="406">
        <v>0.48252552295362283</v>
      </c>
      <c r="S107" s="359" t="s">
        <v>109</v>
      </c>
    </row>
    <row r="108" spans="3:19">
      <c r="C108" s="233"/>
      <c r="D108" s="241"/>
      <c r="E108" s="233"/>
      <c r="F108" s="233"/>
      <c r="G108" s="233"/>
      <c r="H108" s="233"/>
      <c r="I108" s="242"/>
      <c r="J108" s="233"/>
      <c r="K108" s="243"/>
      <c r="L108" s="233"/>
      <c r="M108" s="233"/>
      <c r="N108" s="233"/>
      <c r="O108" s="233"/>
      <c r="P108" s="233"/>
      <c r="Q108" s="243"/>
      <c r="R108" s="408">
        <v>3.5506510185686534E-2</v>
      </c>
      <c r="S108" s="359" t="s">
        <v>110</v>
      </c>
    </row>
    <row r="109" spans="3:19">
      <c r="C109" s="233"/>
      <c r="D109" s="241"/>
      <c r="E109" s="233"/>
      <c r="F109" s="233"/>
      <c r="G109" s="233"/>
      <c r="H109" s="233"/>
      <c r="I109" s="242"/>
      <c r="J109" s="233"/>
      <c r="K109" s="243"/>
      <c r="L109" s="233"/>
      <c r="M109" s="233"/>
      <c r="N109" s="233"/>
      <c r="O109" s="233"/>
      <c r="P109" s="233"/>
      <c r="Q109" s="243"/>
      <c r="R109" s="406">
        <v>0</v>
      </c>
      <c r="S109" s="359" t="s">
        <v>111</v>
      </c>
    </row>
    <row r="110" spans="3:19">
      <c r="C110" s="233"/>
      <c r="D110" s="241"/>
      <c r="E110" s="233"/>
      <c r="F110" s="233"/>
      <c r="G110" s="233"/>
      <c r="H110" s="233"/>
      <c r="I110" s="242"/>
      <c r="J110" s="233"/>
      <c r="K110" s="243"/>
      <c r="L110" s="233"/>
      <c r="M110" s="233"/>
      <c r="N110" s="233"/>
      <c r="O110" s="233"/>
      <c r="P110" s="233"/>
      <c r="Q110" s="243"/>
      <c r="R110" s="408">
        <v>0</v>
      </c>
      <c r="S110" s="359" t="s">
        <v>112</v>
      </c>
    </row>
    <row r="111" spans="3:19">
      <c r="C111" s="233"/>
      <c r="D111" s="241"/>
      <c r="E111" s="233"/>
      <c r="F111" s="233"/>
      <c r="G111" s="233"/>
      <c r="H111" s="233"/>
      <c r="I111" s="242"/>
      <c r="J111" s="233"/>
      <c r="K111" s="243"/>
      <c r="L111" s="233"/>
      <c r="M111" s="233"/>
      <c r="N111" s="233"/>
      <c r="O111" s="233"/>
      <c r="P111" s="233"/>
      <c r="Q111" s="243"/>
      <c r="R111" s="406">
        <v>0.51747447704637717</v>
      </c>
      <c r="S111" s="360" t="s">
        <v>113</v>
      </c>
    </row>
    <row r="112" spans="3:19">
      <c r="C112" s="233"/>
      <c r="D112" s="241"/>
      <c r="E112" s="233"/>
      <c r="F112" s="233"/>
      <c r="G112" s="233"/>
      <c r="H112" s="233"/>
      <c r="I112" s="242"/>
      <c r="J112" s="233"/>
      <c r="K112" s="243"/>
      <c r="L112" s="233"/>
      <c r="M112" s="233"/>
      <c r="N112" s="233"/>
      <c r="O112" s="233"/>
      <c r="P112" s="233"/>
      <c r="Q112" s="243"/>
      <c r="R112" s="361">
        <v>617267700.34473765</v>
      </c>
      <c r="S112" s="409" t="s">
        <v>353</v>
      </c>
    </row>
    <row r="113" spans="3:19">
      <c r="C113" s="233"/>
      <c r="D113" s="241"/>
      <c r="E113" s="233"/>
      <c r="F113" s="233"/>
      <c r="G113" s="233"/>
      <c r="H113" s="233"/>
      <c r="I113" s="242"/>
      <c r="J113" s="233"/>
      <c r="K113" s="243"/>
      <c r="L113" s="233"/>
      <c r="M113" s="233"/>
      <c r="N113" s="233"/>
      <c r="O113" s="233"/>
      <c r="P113" s="233"/>
      <c r="Q113" s="243"/>
      <c r="R113" s="363">
        <v>0.24025699999999994</v>
      </c>
      <c r="S113" s="410" t="s">
        <v>354</v>
      </c>
    </row>
    <row r="114" spans="3:19">
      <c r="C114" s="233"/>
      <c r="D114" s="241"/>
      <c r="E114" s="233"/>
      <c r="F114" s="233"/>
      <c r="G114" s="233"/>
      <c r="H114" s="233"/>
      <c r="I114" s="242"/>
      <c r="J114" s="233"/>
      <c r="K114" s="243"/>
      <c r="L114" s="233"/>
      <c r="M114" s="233"/>
      <c r="N114" s="233"/>
      <c r="O114" s="233"/>
      <c r="P114" s="233"/>
      <c r="Q114" s="243"/>
      <c r="R114" s="361">
        <v>-316894.79520343029</v>
      </c>
      <c r="S114" s="410" t="s">
        <v>355</v>
      </c>
    </row>
    <row r="115" spans="3:19">
      <c r="C115" s="233"/>
      <c r="D115" s="241"/>
      <c r="E115" s="233"/>
      <c r="F115" s="233"/>
      <c r="G115" s="233"/>
      <c r="H115" s="233"/>
      <c r="I115" s="242"/>
      <c r="J115" s="233"/>
      <c r="K115" s="243"/>
      <c r="L115" s="233"/>
      <c r="M115" s="233"/>
      <c r="N115" s="233"/>
      <c r="O115" s="233"/>
      <c r="P115" s="233"/>
      <c r="Q115" s="243"/>
      <c r="R115" s="361">
        <v>-4910706.8813780537</v>
      </c>
      <c r="S115" s="411" t="s">
        <v>314</v>
      </c>
    </row>
    <row r="116" spans="3:19">
      <c r="C116" s="233"/>
      <c r="D116" s="241"/>
      <c r="E116" s="233"/>
      <c r="F116" s="233"/>
      <c r="G116" s="233"/>
      <c r="H116" s="233"/>
      <c r="I116" s="242"/>
      <c r="J116" s="233"/>
      <c r="K116" s="243"/>
      <c r="L116" s="233"/>
      <c r="M116" s="233"/>
      <c r="N116" s="233"/>
      <c r="O116" s="233"/>
      <c r="P116" s="233"/>
      <c r="Q116" s="243"/>
      <c r="R116" s="361">
        <v>92660.478609213882</v>
      </c>
      <c r="S116" s="411" t="s">
        <v>315</v>
      </c>
    </row>
    <row r="117" spans="3:19">
      <c r="C117" s="233"/>
      <c r="D117" s="241"/>
      <c r="E117" s="233"/>
      <c r="F117" s="233"/>
      <c r="G117" s="233"/>
      <c r="H117" s="233"/>
      <c r="I117" s="242"/>
      <c r="J117" s="233"/>
      <c r="K117" s="243"/>
      <c r="L117" s="233"/>
      <c r="M117" s="233"/>
      <c r="N117" s="233"/>
      <c r="O117" s="233"/>
      <c r="P117" s="233"/>
      <c r="Q117" s="243"/>
      <c r="R117" s="361">
        <v>103383426.57443693</v>
      </c>
      <c r="S117" s="410" t="s">
        <v>356</v>
      </c>
    </row>
    <row r="118" spans="3:19">
      <c r="C118" s="233"/>
      <c r="D118" s="241"/>
      <c r="E118" s="233"/>
      <c r="F118" s="233"/>
      <c r="G118" s="233"/>
      <c r="H118" s="233"/>
      <c r="I118" s="242"/>
      <c r="J118" s="233"/>
      <c r="K118" s="243"/>
      <c r="L118" s="233"/>
      <c r="M118" s="233"/>
      <c r="N118" s="233"/>
      <c r="O118" s="233"/>
      <c r="P118" s="233"/>
      <c r="Q118" s="243"/>
      <c r="R118" s="361">
        <v>44114651.894377217</v>
      </c>
      <c r="S118" s="410" t="s">
        <v>357</v>
      </c>
    </row>
    <row r="119" spans="3:19">
      <c r="C119" s="233"/>
      <c r="D119" s="241"/>
      <c r="E119" s="233"/>
      <c r="F119" s="233"/>
      <c r="G119" s="233"/>
      <c r="H119" s="233"/>
      <c r="I119" s="242"/>
      <c r="J119" s="233"/>
      <c r="K119" s="243"/>
      <c r="L119" s="233"/>
      <c r="M119" s="233"/>
      <c r="N119" s="233"/>
      <c r="O119" s="233"/>
      <c r="P119" s="233"/>
      <c r="Q119" s="243"/>
      <c r="R119" s="361">
        <v>5471290.939990201</v>
      </c>
      <c r="S119" s="410" t="s">
        <v>358</v>
      </c>
    </row>
    <row r="120" spans="3:19">
      <c r="C120" s="233"/>
      <c r="D120" s="241"/>
      <c r="E120" s="233"/>
      <c r="F120" s="233"/>
      <c r="G120" s="233"/>
      <c r="H120" s="233"/>
      <c r="I120" s="242"/>
      <c r="J120" s="233"/>
      <c r="K120" s="243"/>
      <c r="L120" s="233"/>
      <c r="M120" s="233"/>
      <c r="N120" s="233"/>
      <c r="O120" s="233"/>
      <c r="P120" s="233"/>
      <c r="Q120" s="243"/>
      <c r="R120" s="361">
        <v>0</v>
      </c>
      <c r="S120" s="410" t="s">
        <v>359</v>
      </c>
    </row>
    <row r="121" spans="3:19">
      <c r="C121" s="233"/>
      <c r="D121" s="241"/>
      <c r="E121" s="233"/>
      <c r="F121" s="233"/>
      <c r="G121" s="233"/>
      <c r="H121" s="233"/>
      <c r="I121" s="242"/>
      <c r="J121" s="233"/>
      <c r="K121" s="243"/>
      <c r="L121" s="233"/>
      <c r="M121" s="233"/>
      <c r="N121" s="233"/>
      <c r="O121" s="233"/>
      <c r="P121" s="233"/>
      <c r="Q121" s="243"/>
      <c r="R121" s="361">
        <v>24079868.827204313</v>
      </c>
      <c r="S121" s="410" t="s">
        <v>360</v>
      </c>
    </row>
    <row r="122" spans="3:19">
      <c r="C122" s="233"/>
      <c r="D122" s="241"/>
      <c r="E122" s="233"/>
      <c r="F122" s="233"/>
      <c r="G122" s="233"/>
      <c r="H122" s="233"/>
      <c r="I122" s="242"/>
      <c r="J122" s="233"/>
      <c r="K122" s="243"/>
      <c r="L122" s="233"/>
      <c r="M122" s="233"/>
      <c r="N122" s="233"/>
      <c r="O122" s="233"/>
      <c r="P122" s="233"/>
      <c r="Q122" s="243"/>
      <c r="R122" s="363">
        <v>0</v>
      </c>
      <c r="S122" s="410" t="s">
        <v>118</v>
      </c>
    </row>
    <row r="123" spans="3:19">
      <c r="C123" s="233"/>
      <c r="D123" s="241"/>
      <c r="E123" s="233"/>
      <c r="F123" s="233"/>
      <c r="G123" s="233"/>
      <c r="H123" s="233"/>
      <c r="I123" s="242"/>
      <c r="J123" s="233"/>
      <c r="K123" s="243"/>
      <c r="L123" s="233"/>
      <c r="M123" s="233"/>
      <c r="N123" s="233"/>
      <c r="O123" s="233"/>
      <c r="P123" s="233"/>
      <c r="Q123" s="243"/>
      <c r="R123" s="361">
        <v>719746309.21923101</v>
      </c>
      <c r="S123" s="410" t="s">
        <v>326</v>
      </c>
    </row>
    <row r="124" spans="3:19">
      <c r="C124" s="233"/>
      <c r="D124" s="241"/>
      <c r="E124" s="233"/>
      <c r="F124" s="233"/>
      <c r="G124" s="233"/>
      <c r="H124" s="233"/>
      <c r="I124" s="242"/>
      <c r="J124" s="233"/>
      <c r="K124" s="243"/>
      <c r="L124" s="233"/>
      <c r="M124" s="233"/>
      <c r="N124" s="233"/>
      <c r="O124" s="233"/>
      <c r="P124" s="233"/>
      <c r="Q124" s="243"/>
      <c r="R124" s="363">
        <v>0.11018265287564978</v>
      </c>
      <c r="S124" s="366" t="s">
        <v>361</v>
      </c>
    </row>
    <row r="125" spans="3:19">
      <c r="C125" s="233"/>
      <c r="D125" s="241"/>
      <c r="E125" s="233"/>
      <c r="F125" s="233"/>
      <c r="G125" s="233"/>
      <c r="H125" s="233"/>
      <c r="I125" s="242"/>
      <c r="J125" s="233"/>
      <c r="K125" s="243"/>
      <c r="L125" s="233"/>
      <c r="M125" s="233"/>
      <c r="N125" s="233"/>
      <c r="O125" s="233"/>
      <c r="P125" s="233"/>
      <c r="Q125" s="243"/>
      <c r="R125" s="632">
        <v>1107616715</v>
      </c>
      <c r="S125" s="359" t="s">
        <v>37</v>
      </c>
    </row>
    <row r="126" spans="3:19">
      <c r="C126" s="233"/>
      <c r="D126" s="241"/>
      <c r="E126" s="233"/>
      <c r="F126" s="233"/>
      <c r="G126" s="233"/>
      <c r="H126" s="233"/>
      <c r="I126" s="242"/>
      <c r="J126" s="233"/>
      <c r="K126" s="243"/>
      <c r="L126" s="233"/>
      <c r="M126" s="233"/>
      <c r="N126" s="233"/>
      <c r="O126" s="233"/>
      <c r="P126" s="233"/>
      <c r="Q126" s="243"/>
      <c r="R126" s="633">
        <v>1164352861</v>
      </c>
      <c r="S126" s="360" t="s">
        <v>38</v>
      </c>
    </row>
    <row r="127" spans="3:19">
      <c r="C127" s="233"/>
      <c r="D127" s="241"/>
      <c r="E127" s="233"/>
      <c r="F127" s="233"/>
      <c r="G127" s="233"/>
      <c r="H127" s="233"/>
      <c r="I127" s="242"/>
      <c r="J127" s="233"/>
      <c r="K127" s="243"/>
      <c r="L127" s="233"/>
      <c r="M127" s="233"/>
      <c r="N127" s="233"/>
      <c r="O127" s="233"/>
      <c r="P127" s="233"/>
      <c r="Q127" s="243"/>
      <c r="R127" s="412">
        <v>1126214557.3846154</v>
      </c>
      <c r="S127" s="368" t="s">
        <v>362</v>
      </c>
    </row>
    <row r="128" spans="3:19" ht="13.5" thickBot="1">
      <c r="C128" s="233"/>
      <c r="D128" s="241"/>
      <c r="E128" s="233"/>
      <c r="F128" s="233"/>
      <c r="G128" s="233"/>
      <c r="H128" s="233"/>
      <c r="I128" s="242"/>
      <c r="J128" s="233"/>
      <c r="K128" s="243"/>
      <c r="L128" s="233"/>
      <c r="M128" s="233"/>
      <c r="N128" s="233"/>
      <c r="O128" s="233"/>
      <c r="P128" s="233"/>
      <c r="Q128" s="243"/>
      <c r="R128" s="413">
        <v>29197009</v>
      </c>
      <c r="S128" s="370" t="s">
        <v>363</v>
      </c>
    </row>
    <row r="129" spans="3:19">
      <c r="C129" s="233"/>
      <c r="D129" s="241"/>
      <c r="E129" s="233"/>
      <c r="F129" s="233"/>
      <c r="G129" s="233"/>
      <c r="H129" s="233"/>
      <c r="I129" s="242"/>
      <c r="J129" s="233"/>
      <c r="K129" s="243"/>
      <c r="L129" s="233"/>
      <c r="M129" s="233"/>
      <c r="N129" s="233"/>
      <c r="O129" s="233"/>
      <c r="P129" s="233"/>
      <c r="Q129" s="243"/>
      <c r="R129" s="233"/>
      <c r="S129" s="233"/>
    </row>
    <row r="130" spans="3:19">
      <c r="C130" s="233"/>
      <c r="D130" s="241"/>
      <c r="E130" s="233"/>
      <c r="F130" s="233"/>
      <c r="G130" s="233"/>
      <c r="H130" s="233"/>
      <c r="I130" s="242"/>
      <c r="J130" s="233"/>
      <c r="K130" s="243"/>
      <c r="L130" s="233"/>
      <c r="M130" s="233"/>
      <c r="N130" s="233"/>
      <c r="O130" s="233"/>
      <c r="P130" s="233"/>
      <c r="Q130" s="243"/>
      <c r="R130" s="350" t="s">
        <v>116</v>
      </c>
      <c r="S130" s="233" t="s">
        <v>130</v>
      </c>
    </row>
    <row r="131" spans="3:19" ht="13.5" thickBot="1">
      <c r="C131" s="233"/>
      <c r="D131" s="241"/>
      <c r="E131" s="233"/>
      <c r="F131" s="233"/>
      <c r="G131" s="233"/>
      <c r="H131" s="233"/>
      <c r="I131" s="242"/>
      <c r="J131" s="233"/>
      <c r="K131" s="243"/>
      <c r="L131" s="233"/>
      <c r="M131" s="233"/>
      <c r="N131" s="233"/>
      <c r="O131" s="233"/>
      <c r="P131" s="233"/>
      <c r="Q131" s="243"/>
      <c r="R131" s="351" t="s">
        <v>134</v>
      </c>
      <c r="S131" s="233"/>
    </row>
    <row r="132" spans="3:19">
      <c r="C132" s="233"/>
      <c r="D132" s="241"/>
      <c r="E132" s="233"/>
      <c r="F132" s="233"/>
      <c r="G132" s="233"/>
      <c r="H132" s="233"/>
      <c r="I132" s="242"/>
      <c r="J132" s="233"/>
      <c r="K132" s="243"/>
      <c r="L132" s="233"/>
      <c r="M132" s="233"/>
      <c r="N132" s="233"/>
      <c r="O132" s="233"/>
      <c r="P132" s="233"/>
      <c r="Q132" s="243"/>
      <c r="R132" s="371">
        <f>+N17</f>
        <v>8173098.1037967186</v>
      </c>
      <c r="S132" s="148" t="s">
        <v>136</v>
      </c>
    </row>
    <row r="133" spans="3:19">
      <c r="C133" s="233"/>
      <c r="D133" s="241"/>
      <c r="E133" s="233"/>
      <c r="F133" s="233"/>
      <c r="G133" s="233"/>
      <c r="H133" s="233"/>
      <c r="I133" s="242"/>
      <c r="J133" s="233"/>
      <c r="K133" s="243"/>
      <c r="L133" s="233"/>
      <c r="M133" s="233"/>
      <c r="N133" s="233"/>
      <c r="O133" s="233"/>
      <c r="P133" s="233"/>
      <c r="Q133" s="243"/>
      <c r="R133" s="372">
        <f>+O17</f>
        <v>8173098.1037967186</v>
      </c>
      <c r="S133" s="148" t="s">
        <v>137</v>
      </c>
    </row>
    <row r="134" spans="3:19">
      <c r="C134" s="233"/>
      <c r="D134" s="241"/>
      <c r="E134" s="233"/>
      <c r="F134" s="233"/>
      <c r="G134" s="233"/>
      <c r="H134" s="233"/>
      <c r="I134" s="242"/>
      <c r="J134" s="233"/>
      <c r="K134" s="243"/>
      <c r="L134" s="233"/>
      <c r="M134" s="233"/>
      <c r="N134" s="233"/>
      <c r="O134" s="233"/>
      <c r="P134" s="233"/>
      <c r="Q134" s="243"/>
      <c r="R134" s="414">
        <f>+N18</f>
        <v>8362863.3214887884</v>
      </c>
      <c r="S134" s="148" t="s">
        <v>138</v>
      </c>
    </row>
    <row r="135" spans="3:19" ht="13.5" thickBot="1">
      <c r="C135" s="233"/>
      <c r="D135" s="241"/>
      <c r="E135" s="233"/>
      <c r="F135" s="233"/>
      <c r="G135" s="233"/>
      <c r="H135" s="233"/>
      <c r="I135" s="242"/>
      <c r="J135" s="233"/>
      <c r="K135" s="243"/>
      <c r="L135" s="233"/>
      <c r="M135" s="233"/>
      <c r="N135" s="233"/>
      <c r="O135" s="233"/>
      <c r="P135" s="233"/>
      <c r="Q135" s="243"/>
      <c r="R135" s="373">
        <f>+O18</f>
        <v>8362863.3214887884</v>
      </c>
      <c r="S135" s="148" t="s">
        <v>139</v>
      </c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2"/>
  <sheetViews>
    <sheetView zoomScale="85" zoomScaleNormal="85" workbookViewId="0">
      <selection activeCell="J92" sqref="J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27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635766.39004328649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635766.39004328649</v>
      </c>
      <c r="O6" s="233"/>
      <c r="P6" s="233"/>
    </row>
    <row r="7" spans="1:16" ht="13.5" thickBot="1">
      <c r="C7" s="431" t="s">
        <v>46</v>
      </c>
      <c r="D7" s="617" t="s">
        <v>330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332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5058589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120442.59523809524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2019</v>
      </c>
      <c r="D17" s="621">
        <v>0</v>
      </c>
      <c r="E17" s="622">
        <v>0</v>
      </c>
      <c r="F17" s="623">
        <v>4120000</v>
      </c>
      <c r="G17" s="622">
        <v>230012.66047295602</v>
      </c>
      <c r="H17" s="624">
        <v>230012.66047295602</v>
      </c>
      <c r="I17" s="475">
        <f>H17-G17</f>
        <v>0</v>
      </c>
      <c r="J17" s="475"/>
      <c r="K17" s="554">
        <f>+G17</f>
        <v>230012.66047295602</v>
      </c>
      <c r="L17" s="477">
        <f t="shared" ref="L17:L18" si="0">IF(K17&lt;&gt;0,+G17-K17,0)</f>
        <v>0</v>
      </c>
      <c r="M17" s="554">
        <f>+H17</f>
        <v>230012.66047295602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2020</v>
      </c>
      <c r="D18" s="625">
        <v>4236000</v>
      </c>
      <c r="E18" s="626">
        <v>100857.14285714286</v>
      </c>
      <c r="F18" s="625">
        <v>4135142.8571428573</v>
      </c>
      <c r="G18" s="626">
        <v>552918.85124067403</v>
      </c>
      <c r="H18" s="627">
        <v>552918.85124067403</v>
      </c>
      <c r="I18" s="475">
        <f>H18-G18</f>
        <v>0</v>
      </c>
      <c r="J18" s="475"/>
      <c r="K18" s="478">
        <f>+G18</f>
        <v>552918.85124067403</v>
      </c>
      <c r="L18" s="478">
        <f t="shared" si="0"/>
        <v>0</v>
      </c>
      <c r="M18" s="478">
        <f>+H18</f>
        <v>552918.85124067403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2021</v>
      </c>
      <c r="D19" s="625">
        <v>4957664.8571428573</v>
      </c>
      <c r="E19" s="626">
        <v>117640.04651162791</v>
      </c>
      <c r="F19" s="625">
        <v>4840024.8106312295</v>
      </c>
      <c r="G19" s="626">
        <v>645841.5888943586</v>
      </c>
      <c r="H19" s="627">
        <v>645841.5888943586</v>
      </c>
      <c r="I19" s="475">
        <f t="shared" ref="I19:I71" si="3">H19-G19</f>
        <v>0</v>
      </c>
      <c r="J19" s="475"/>
      <c r="K19" s="478">
        <f>+G19</f>
        <v>645841.5888943586</v>
      </c>
      <c r="L19" s="478">
        <f t="shared" ref="L19" si="4">IF(K19&lt;&gt;0,+G19-K19,0)</f>
        <v>0</v>
      </c>
      <c r="M19" s="478">
        <f>+H19</f>
        <v>645841.5888943586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625">
        <v>4840091.8106312295</v>
      </c>
      <c r="E20" s="626">
        <v>120442.59523809524</v>
      </c>
      <c r="F20" s="625">
        <v>4719649.2153931344</v>
      </c>
      <c r="G20" s="626">
        <v>635766.39004328649</v>
      </c>
      <c r="H20" s="627">
        <v>635766.39004328649</v>
      </c>
      <c r="I20" s="475">
        <f t="shared" si="3"/>
        <v>0</v>
      </c>
      <c r="J20" s="475"/>
      <c r="K20" s="478">
        <f>+G20</f>
        <v>635766.39004328649</v>
      </c>
      <c r="L20" s="478">
        <f t="shared" ref="L20" si="6">IF(K20&lt;&gt;0,+G20-K20,0)</f>
        <v>0</v>
      </c>
      <c r="M20" s="478">
        <f>+H20</f>
        <v>635766.39004328649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2023</v>
      </c>
      <c r="D21" s="483">
        <f>IF(F20+SUM(E$17:E20)=D$10,F20,D$10-SUM(E$17:E20))</f>
        <v>4719649.2153931344</v>
      </c>
      <c r="E21" s="484">
        <f t="shared" ref="E21:E71" si="7">IF(+I$14&lt;F20,I$14,D21)</f>
        <v>120442.59523809524</v>
      </c>
      <c r="F21" s="485">
        <f t="shared" ref="F21:F71" si="8">+D21-E21</f>
        <v>4599206.6201550392</v>
      </c>
      <c r="G21" s="486">
        <f t="shared" ref="G21:G71" si="9">(D21+F21)/2*I$12+E21</f>
        <v>622781.32380240888</v>
      </c>
      <c r="H21" s="455">
        <f t="shared" ref="H21:H71" si="10">+(D21+F21)/2*I$13+E21</f>
        <v>622781.32380240888</v>
      </c>
      <c r="I21" s="475">
        <f t="shared" si="3"/>
        <v>0</v>
      </c>
      <c r="J21" s="475"/>
      <c r="K21" s="487"/>
      <c r="L21" s="478">
        <f t="shared" ref="L21:L72" si="11">IF(K21&lt;&gt;0,+G21-K21,0)</f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4599206.6201550392</v>
      </c>
      <c r="E22" s="484">
        <f t="shared" si="7"/>
        <v>120442.59523809524</v>
      </c>
      <c r="F22" s="485">
        <f t="shared" si="8"/>
        <v>4478764.0249169441</v>
      </c>
      <c r="G22" s="486">
        <f t="shared" si="9"/>
        <v>609796.25756153127</v>
      </c>
      <c r="H22" s="455">
        <f t="shared" si="10"/>
        <v>609796.25756153127</v>
      </c>
      <c r="I22" s="475">
        <f t="shared" si="3"/>
        <v>0</v>
      </c>
      <c r="J22" s="475"/>
      <c r="K22" s="487"/>
      <c r="L22" s="478">
        <f t="shared" si="11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4478764.0249169441</v>
      </c>
      <c r="E23" s="484">
        <f t="shared" si="7"/>
        <v>120442.59523809524</v>
      </c>
      <c r="F23" s="485">
        <f t="shared" si="8"/>
        <v>4358321.4296788489</v>
      </c>
      <c r="G23" s="486">
        <f t="shared" si="9"/>
        <v>596811.19132065366</v>
      </c>
      <c r="H23" s="455">
        <f t="shared" si="10"/>
        <v>596811.19132065366</v>
      </c>
      <c r="I23" s="475">
        <f t="shared" si="3"/>
        <v>0</v>
      </c>
      <c r="J23" s="475"/>
      <c r="K23" s="487"/>
      <c r="L23" s="478">
        <f t="shared" si="11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4358321.4296788489</v>
      </c>
      <c r="E24" s="484">
        <f t="shared" si="7"/>
        <v>120442.59523809524</v>
      </c>
      <c r="F24" s="485">
        <f t="shared" si="8"/>
        <v>4237878.8344407538</v>
      </c>
      <c r="G24" s="486">
        <f t="shared" si="9"/>
        <v>583826.12507977604</v>
      </c>
      <c r="H24" s="455">
        <f t="shared" si="10"/>
        <v>583826.12507977604</v>
      </c>
      <c r="I24" s="475">
        <f t="shared" si="3"/>
        <v>0</v>
      </c>
      <c r="J24" s="475"/>
      <c r="K24" s="487"/>
      <c r="L24" s="478">
        <f t="shared" si="11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4237878.8344407538</v>
      </c>
      <c r="E25" s="484">
        <f t="shared" si="7"/>
        <v>120442.59523809524</v>
      </c>
      <c r="F25" s="485">
        <f t="shared" si="8"/>
        <v>4117436.2392026586</v>
      </c>
      <c r="G25" s="486">
        <f t="shared" si="9"/>
        <v>570841.05883889843</v>
      </c>
      <c r="H25" s="455">
        <f t="shared" si="10"/>
        <v>570841.05883889843</v>
      </c>
      <c r="I25" s="475">
        <f t="shared" si="3"/>
        <v>0</v>
      </c>
      <c r="J25" s="475"/>
      <c r="K25" s="487"/>
      <c r="L25" s="478">
        <f t="shared" si="11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4117436.2392026586</v>
      </c>
      <c r="E26" s="484">
        <f t="shared" si="7"/>
        <v>120442.59523809524</v>
      </c>
      <c r="F26" s="485">
        <f t="shared" si="8"/>
        <v>3996993.6439645635</v>
      </c>
      <c r="G26" s="486">
        <f t="shared" si="9"/>
        <v>557855.99259802082</v>
      </c>
      <c r="H26" s="455">
        <f t="shared" si="10"/>
        <v>557855.99259802082</v>
      </c>
      <c r="I26" s="475">
        <f t="shared" si="3"/>
        <v>0</v>
      </c>
      <c r="J26" s="475"/>
      <c r="K26" s="487"/>
      <c r="L26" s="478">
        <f t="shared" si="11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3996993.6439645635</v>
      </c>
      <c r="E27" s="484">
        <f t="shared" si="7"/>
        <v>120442.59523809524</v>
      </c>
      <c r="F27" s="485">
        <f t="shared" si="8"/>
        <v>3876551.0487264683</v>
      </c>
      <c r="G27" s="486">
        <f t="shared" si="9"/>
        <v>544870.92635714321</v>
      </c>
      <c r="H27" s="455">
        <f t="shared" si="10"/>
        <v>544870.92635714321</v>
      </c>
      <c r="I27" s="475">
        <f t="shared" si="3"/>
        <v>0</v>
      </c>
      <c r="J27" s="475"/>
      <c r="K27" s="487"/>
      <c r="L27" s="478">
        <f t="shared" si="11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3876551.0487264683</v>
      </c>
      <c r="E28" s="484">
        <f t="shared" si="7"/>
        <v>120442.59523809524</v>
      </c>
      <c r="F28" s="485">
        <f t="shared" si="8"/>
        <v>3756108.4534883732</v>
      </c>
      <c r="G28" s="486">
        <f t="shared" si="9"/>
        <v>531885.8601162656</v>
      </c>
      <c r="H28" s="455">
        <f t="shared" si="10"/>
        <v>531885.8601162656</v>
      </c>
      <c r="I28" s="475">
        <f t="shared" si="3"/>
        <v>0</v>
      </c>
      <c r="J28" s="475"/>
      <c r="K28" s="487"/>
      <c r="L28" s="478">
        <f t="shared" si="11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3756108.4534883732</v>
      </c>
      <c r="E29" s="484">
        <f t="shared" si="7"/>
        <v>120442.59523809524</v>
      </c>
      <c r="F29" s="485">
        <f t="shared" si="8"/>
        <v>3635665.858250278</v>
      </c>
      <c r="G29" s="486">
        <f t="shared" si="9"/>
        <v>518900.79387538787</v>
      </c>
      <c r="H29" s="455">
        <f t="shared" si="10"/>
        <v>518900.79387538787</v>
      </c>
      <c r="I29" s="475">
        <f t="shared" si="3"/>
        <v>0</v>
      </c>
      <c r="J29" s="475"/>
      <c r="K29" s="487"/>
      <c r="L29" s="478">
        <f t="shared" si="11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3635665.858250278</v>
      </c>
      <c r="E30" s="484">
        <f t="shared" si="7"/>
        <v>120442.59523809524</v>
      </c>
      <c r="F30" s="485">
        <f t="shared" si="8"/>
        <v>3515223.2630121829</v>
      </c>
      <c r="G30" s="486">
        <f t="shared" si="9"/>
        <v>505915.72763451026</v>
      </c>
      <c r="H30" s="455">
        <f t="shared" si="10"/>
        <v>505915.72763451026</v>
      </c>
      <c r="I30" s="475">
        <f t="shared" si="3"/>
        <v>0</v>
      </c>
      <c r="J30" s="475"/>
      <c r="K30" s="487"/>
      <c r="L30" s="478">
        <f t="shared" si="11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3515223.2630121829</v>
      </c>
      <c r="E31" s="484">
        <f t="shared" si="7"/>
        <v>120442.59523809524</v>
      </c>
      <c r="F31" s="485">
        <f t="shared" si="8"/>
        <v>3394780.6677740877</v>
      </c>
      <c r="G31" s="486">
        <f t="shared" si="9"/>
        <v>492930.66139363265</v>
      </c>
      <c r="H31" s="455">
        <f t="shared" si="10"/>
        <v>492930.66139363265</v>
      </c>
      <c r="I31" s="475">
        <f t="shared" si="3"/>
        <v>0</v>
      </c>
      <c r="J31" s="475"/>
      <c r="K31" s="487"/>
      <c r="L31" s="478">
        <f t="shared" si="11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3394780.6677740877</v>
      </c>
      <c r="E32" s="484">
        <f t="shared" si="7"/>
        <v>120442.59523809524</v>
      </c>
      <c r="F32" s="485">
        <f t="shared" si="8"/>
        <v>3274338.0725359926</v>
      </c>
      <c r="G32" s="486">
        <f t="shared" si="9"/>
        <v>479945.59515275504</v>
      </c>
      <c r="H32" s="455">
        <f t="shared" si="10"/>
        <v>479945.59515275504</v>
      </c>
      <c r="I32" s="475">
        <f t="shared" si="3"/>
        <v>0</v>
      </c>
      <c r="J32" s="475"/>
      <c r="K32" s="487"/>
      <c r="L32" s="478">
        <f t="shared" si="11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3274338.0725359926</v>
      </c>
      <c r="E33" s="484">
        <f t="shared" si="7"/>
        <v>120442.59523809524</v>
      </c>
      <c r="F33" s="485">
        <f t="shared" si="8"/>
        <v>3153895.4772978975</v>
      </c>
      <c r="G33" s="486">
        <f t="shared" si="9"/>
        <v>466960.52891187742</v>
      </c>
      <c r="H33" s="455">
        <f t="shared" si="10"/>
        <v>466960.52891187742</v>
      </c>
      <c r="I33" s="475">
        <f t="shared" si="3"/>
        <v>0</v>
      </c>
      <c r="J33" s="475"/>
      <c r="K33" s="487"/>
      <c r="L33" s="478">
        <f t="shared" si="11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3153895.4772978975</v>
      </c>
      <c r="E34" s="484">
        <f t="shared" si="7"/>
        <v>120442.59523809524</v>
      </c>
      <c r="F34" s="485">
        <f t="shared" si="8"/>
        <v>3033452.8820598023</v>
      </c>
      <c r="G34" s="486">
        <f t="shared" si="9"/>
        <v>453975.46267099981</v>
      </c>
      <c r="H34" s="455">
        <f t="shared" si="10"/>
        <v>453975.46267099981</v>
      </c>
      <c r="I34" s="475">
        <f t="shared" si="3"/>
        <v>0</v>
      </c>
      <c r="J34" s="475"/>
      <c r="K34" s="487"/>
      <c r="L34" s="478">
        <f t="shared" si="11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3033452.8820598023</v>
      </c>
      <c r="E35" s="484">
        <f t="shared" si="7"/>
        <v>120442.59523809524</v>
      </c>
      <c r="F35" s="485">
        <f t="shared" si="8"/>
        <v>2913010.2868217072</v>
      </c>
      <c r="G35" s="486">
        <f t="shared" si="9"/>
        <v>440990.3964301222</v>
      </c>
      <c r="H35" s="455">
        <f t="shared" si="10"/>
        <v>440990.3964301222</v>
      </c>
      <c r="I35" s="475">
        <f t="shared" si="3"/>
        <v>0</v>
      </c>
      <c r="J35" s="475"/>
      <c r="K35" s="487"/>
      <c r="L35" s="478">
        <f t="shared" si="11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2913010.2868217072</v>
      </c>
      <c r="E36" s="484">
        <f t="shared" si="7"/>
        <v>120442.59523809524</v>
      </c>
      <c r="F36" s="485">
        <f t="shared" si="8"/>
        <v>2792567.691583612</v>
      </c>
      <c r="G36" s="486">
        <f t="shared" si="9"/>
        <v>428005.33018924459</v>
      </c>
      <c r="H36" s="455">
        <f t="shared" si="10"/>
        <v>428005.33018924459</v>
      </c>
      <c r="I36" s="475">
        <f t="shared" si="3"/>
        <v>0</v>
      </c>
      <c r="J36" s="475"/>
      <c r="K36" s="487"/>
      <c r="L36" s="478">
        <f t="shared" si="11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2792567.691583612</v>
      </c>
      <c r="E37" s="484">
        <f t="shared" si="7"/>
        <v>120442.59523809524</v>
      </c>
      <c r="F37" s="485">
        <f t="shared" si="8"/>
        <v>2672125.0963455169</v>
      </c>
      <c r="G37" s="486">
        <f t="shared" si="9"/>
        <v>415020.26394836698</v>
      </c>
      <c r="H37" s="455">
        <f t="shared" si="10"/>
        <v>415020.26394836698</v>
      </c>
      <c r="I37" s="475">
        <f t="shared" si="3"/>
        <v>0</v>
      </c>
      <c r="J37" s="475"/>
      <c r="K37" s="487"/>
      <c r="L37" s="478">
        <f t="shared" si="11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2672125.0963455169</v>
      </c>
      <c r="E38" s="484">
        <f t="shared" si="7"/>
        <v>120442.59523809524</v>
      </c>
      <c r="F38" s="485">
        <f t="shared" si="8"/>
        <v>2551682.5011074217</v>
      </c>
      <c r="G38" s="486">
        <f t="shared" si="9"/>
        <v>402035.19770748937</v>
      </c>
      <c r="H38" s="455">
        <f t="shared" si="10"/>
        <v>402035.19770748937</v>
      </c>
      <c r="I38" s="475">
        <f t="shared" si="3"/>
        <v>0</v>
      </c>
      <c r="J38" s="475"/>
      <c r="K38" s="487"/>
      <c r="L38" s="478">
        <f t="shared" si="11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2551682.5011074217</v>
      </c>
      <c r="E39" s="484">
        <f t="shared" si="7"/>
        <v>120442.59523809524</v>
      </c>
      <c r="F39" s="485">
        <f t="shared" si="8"/>
        <v>2431239.9058693266</v>
      </c>
      <c r="G39" s="486">
        <f t="shared" si="9"/>
        <v>389050.13146661175</v>
      </c>
      <c r="H39" s="455">
        <f t="shared" si="10"/>
        <v>389050.13146661175</v>
      </c>
      <c r="I39" s="475">
        <f t="shared" si="3"/>
        <v>0</v>
      </c>
      <c r="J39" s="475"/>
      <c r="K39" s="487"/>
      <c r="L39" s="478">
        <f t="shared" si="11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2431239.9058693266</v>
      </c>
      <c r="E40" s="484">
        <f t="shared" si="7"/>
        <v>120442.59523809524</v>
      </c>
      <c r="F40" s="485">
        <f t="shared" si="8"/>
        <v>2310797.3106312314</v>
      </c>
      <c r="G40" s="486">
        <f t="shared" si="9"/>
        <v>376065.06522573414</v>
      </c>
      <c r="H40" s="455">
        <f t="shared" si="10"/>
        <v>376065.06522573414</v>
      </c>
      <c r="I40" s="475">
        <f t="shared" si="3"/>
        <v>0</v>
      </c>
      <c r="J40" s="475"/>
      <c r="K40" s="487"/>
      <c r="L40" s="478">
        <f t="shared" si="11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2310797.3106312314</v>
      </c>
      <c r="E41" s="484">
        <f t="shared" si="7"/>
        <v>120442.59523809524</v>
      </c>
      <c r="F41" s="485">
        <f t="shared" si="8"/>
        <v>2190354.7153931363</v>
      </c>
      <c r="G41" s="486">
        <f t="shared" si="9"/>
        <v>363079.99898485653</v>
      </c>
      <c r="H41" s="455">
        <f t="shared" si="10"/>
        <v>363079.99898485653</v>
      </c>
      <c r="I41" s="475">
        <f t="shared" si="3"/>
        <v>0</v>
      </c>
      <c r="J41" s="475"/>
      <c r="K41" s="487"/>
      <c r="L41" s="478">
        <f t="shared" si="11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2190354.7153931363</v>
      </c>
      <c r="E42" s="484">
        <f t="shared" si="7"/>
        <v>120442.59523809524</v>
      </c>
      <c r="F42" s="485">
        <f t="shared" si="8"/>
        <v>2069912.1201550411</v>
      </c>
      <c r="G42" s="486">
        <f t="shared" si="9"/>
        <v>350094.93274397892</v>
      </c>
      <c r="H42" s="455">
        <f t="shared" si="10"/>
        <v>350094.93274397892</v>
      </c>
      <c r="I42" s="475">
        <f t="shared" si="3"/>
        <v>0</v>
      </c>
      <c r="J42" s="475"/>
      <c r="K42" s="487"/>
      <c r="L42" s="478">
        <f t="shared" si="11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2069912.1201550411</v>
      </c>
      <c r="E43" s="484">
        <f t="shared" si="7"/>
        <v>120442.59523809524</v>
      </c>
      <c r="F43" s="485">
        <f t="shared" si="8"/>
        <v>1949469.524916946</v>
      </c>
      <c r="G43" s="486">
        <f t="shared" si="9"/>
        <v>337109.86650310131</v>
      </c>
      <c r="H43" s="455">
        <f t="shared" si="10"/>
        <v>337109.86650310131</v>
      </c>
      <c r="I43" s="475">
        <f t="shared" si="3"/>
        <v>0</v>
      </c>
      <c r="J43" s="475"/>
      <c r="K43" s="487"/>
      <c r="L43" s="478">
        <f t="shared" si="11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1949469.524916946</v>
      </c>
      <c r="E44" s="484">
        <f t="shared" si="7"/>
        <v>120442.59523809524</v>
      </c>
      <c r="F44" s="485">
        <f t="shared" si="8"/>
        <v>1829026.9296788508</v>
      </c>
      <c r="G44" s="486">
        <f t="shared" si="9"/>
        <v>324124.8002622237</v>
      </c>
      <c r="H44" s="455">
        <f t="shared" si="10"/>
        <v>324124.8002622237</v>
      </c>
      <c r="I44" s="475">
        <f t="shared" si="3"/>
        <v>0</v>
      </c>
      <c r="J44" s="475"/>
      <c r="K44" s="487"/>
      <c r="L44" s="478">
        <f t="shared" si="11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1829026.9296788508</v>
      </c>
      <c r="E45" s="484">
        <f t="shared" si="7"/>
        <v>120442.59523809524</v>
      </c>
      <c r="F45" s="485">
        <f t="shared" si="8"/>
        <v>1708584.3344407557</v>
      </c>
      <c r="G45" s="486">
        <f t="shared" si="9"/>
        <v>311139.73402134608</v>
      </c>
      <c r="H45" s="455">
        <f t="shared" si="10"/>
        <v>311139.73402134608</v>
      </c>
      <c r="I45" s="475">
        <f t="shared" si="3"/>
        <v>0</v>
      </c>
      <c r="J45" s="475"/>
      <c r="K45" s="487"/>
      <c r="L45" s="478">
        <f t="shared" si="11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1708584.3344407557</v>
      </c>
      <c r="E46" s="484">
        <f t="shared" si="7"/>
        <v>120442.59523809524</v>
      </c>
      <c r="F46" s="485">
        <f t="shared" si="8"/>
        <v>1588141.7392026605</v>
      </c>
      <c r="G46" s="486">
        <f t="shared" si="9"/>
        <v>298154.66778046847</v>
      </c>
      <c r="H46" s="455">
        <f t="shared" si="10"/>
        <v>298154.66778046847</v>
      </c>
      <c r="I46" s="475">
        <f t="shared" si="3"/>
        <v>0</v>
      </c>
      <c r="J46" s="475"/>
      <c r="K46" s="487"/>
      <c r="L46" s="478">
        <f t="shared" si="11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1588141.7392026605</v>
      </c>
      <c r="E47" s="484">
        <f t="shared" si="7"/>
        <v>120442.59523809524</v>
      </c>
      <c r="F47" s="485">
        <f t="shared" si="8"/>
        <v>1467699.1439645654</v>
      </c>
      <c r="G47" s="486">
        <f t="shared" si="9"/>
        <v>285169.60153959086</v>
      </c>
      <c r="H47" s="455">
        <f t="shared" si="10"/>
        <v>285169.60153959086</v>
      </c>
      <c r="I47" s="475">
        <f t="shared" si="3"/>
        <v>0</v>
      </c>
      <c r="J47" s="475"/>
      <c r="K47" s="487"/>
      <c r="L47" s="478">
        <f t="shared" si="11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1467699.1439645654</v>
      </c>
      <c r="E48" s="484">
        <f t="shared" si="7"/>
        <v>120442.59523809524</v>
      </c>
      <c r="F48" s="485">
        <f t="shared" si="8"/>
        <v>1347256.5487264702</v>
      </c>
      <c r="G48" s="486">
        <f t="shared" si="9"/>
        <v>272184.53529871325</v>
      </c>
      <c r="H48" s="455">
        <f t="shared" si="10"/>
        <v>272184.53529871325</v>
      </c>
      <c r="I48" s="475">
        <f t="shared" si="3"/>
        <v>0</v>
      </c>
      <c r="J48" s="475"/>
      <c r="K48" s="487"/>
      <c r="L48" s="478">
        <f t="shared" si="11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1347256.5487264702</v>
      </c>
      <c r="E49" s="484">
        <f t="shared" si="7"/>
        <v>120442.59523809524</v>
      </c>
      <c r="F49" s="485">
        <f t="shared" si="8"/>
        <v>1226813.9534883751</v>
      </c>
      <c r="G49" s="486">
        <f t="shared" si="9"/>
        <v>259199.46905783564</v>
      </c>
      <c r="H49" s="455">
        <f t="shared" si="10"/>
        <v>259199.46905783564</v>
      </c>
      <c r="I49" s="475">
        <f t="shared" si="3"/>
        <v>0</v>
      </c>
      <c r="J49" s="475"/>
      <c r="K49" s="487"/>
      <c r="L49" s="478">
        <f t="shared" si="11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1226813.9534883751</v>
      </c>
      <c r="E50" s="484">
        <f t="shared" si="7"/>
        <v>120442.59523809524</v>
      </c>
      <c r="F50" s="485">
        <f t="shared" si="8"/>
        <v>1106371.3582502799</v>
      </c>
      <c r="G50" s="486">
        <f t="shared" si="9"/>
        <v>246214.40281695803</v>
      </c>
      <c r="H50" s="455">
        <f t="shared" si="10"/>
        <v>246214.40281695803</v>
      </c>
      <c r="I50" s="475">
        <f t="shared" si="3"/>
        <v>0</v>
      </c>
      <c r="J50" s="475"/>
      <c r="K50" s="487"/>
      <c r="L50" s="478">
        <f t="shared" si="11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1106371.3582502799</v>
      </c>
      <c r="E51" s="484">
        <f t="shared" si="7"/>
        <v>120442.59523809524</v>
      </c>
      <c r="F51" s="485">
        <f t="shared" si="8"/>
        <v>985928.76301218465</v>
      </c>
      <c r="G51" s="486">
        <f t="shared" si="9"/>
        <v>233229.33657608042</v>
      </c>
      <c r="H51" s="455">
        <f t="shared" si="10"/>
        <v>233229.33657608042</v>
      </c>
      <c r="I51" s="475">
        <f t="shared" si="3"/>
        <v>0</v>
      </c>
      <c r="J51" s="475"/>
      <c r="K51" s="487"/>
      <c r="L51" s="478">
        <f t="shared" si="11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985928.76301218465</v>
      </c>
      <c r="E52" s="484">
        <f t="shared" si="7"/>
        <v>120442.59523809524</v>
      </c>
      <c r="F52" s="485">
        <f t="shared" si="8"/>
        <v>865486.16777408938</v>
      </c>
      <c r="G52" s="486">
        <f t="shared" si="9"/>
        <v>220244.2703352028</v>
      </c>
      <c r="H52" s="455">
        <f t="shared" si="10"/>
        <v>220244.2703352028</v>
      </c>
      <c r="I52" s="475">
        <f t="shared" si="3"/>
        <v>0</v>
      </c>
      <c r="J52" s="475"/>
      <c r="K52" s="487"/>
      <c r="L52" s="478">
        <f t="shared" si="11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865486.16777408938</v>
      </c>
      <c r="E53" s="484">
        <f t="shared" si="7"/>
        <v>120442.59523809524</v>
      </c>
      <c r="F53" s="485">
        <f t="shared" si="8"/>
        <v>745043.57253599411</v>
      </c>
      <c r="G53" s="486">
        <f t="shared" si="9"/>
        <v>207259.20409432516</v>
      </c>
      <c r="H53" s="455">
        <f t="shared" si="10"/>
        <v>207259.20409432516</v>
      </c>
      <c r="I53" s="475">
        <f t="shared" si="3"/>
        <v>0</v>
      </c>
      <c r="J53" s="475"/>
      <c r="K53" s="487"/>
      <c r="L53" s="478">
        <f t="shared" si="11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745043.57253599411</v>
      </c>
      <c r="E54" s="484">
        <f t="shared" si="7"/>
        <v>120442.59523809524</v>
      </c>
      <c r="F54" s="485">
        <f t="shared" si="8"/>
        <v>624600.97729789885</v>
      </c>
      <c r="G54" s="486">
        <f t="shared" si="9"/>
        <v>194274.13785344752</v>
      </c>
      <c r="H54" s="455">
        <f t="shared" si="10"/>
        <v>194274.13785344752</v>
      </c>
      <c r="I54" s="475">
        <f t="shared" si="3"/>
        <v>0</v>
      </c>
      <c r="J54" s="475"/>
      <c r="K54" s="487"/>
      <c r="L54" s="478">
        <f t="shared" si="11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624600.97729789885</v>
      </c>
      <c r="E55" s="484">
        <f t="shared" si="7"/>
        <v>120442.59523809524</v>
      </c>
      <c r="F55" s="485">
        <f t="shared" si="8"/>
        <v>504158.38205980358</v>
      </c>
      <c r="G55" s="486">
        <f t="shared" si="9"/>
        <v>181289.07161256991</v>
      </c>
      <c r="H55" s="455">
        <f t="shared" si="10"/>
        <v>181289.07161256991</v>
      </c>
      <c r="I55" s="475">
        <f t="shared" si="3"/>
        <v>0</v>
      </c>
      <c r="J55" s="475"/>
      <c r="K55" s="487"/>
      <c r="L55" s="478">
        <f t="shared" si="11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504158.38205980358</v>
      </c>
      <c r="E56" s="484">
        <f t="shared" si="7"/>
        <v>120442.59523809524</v>
      </c>
      <c r="F56" s="485">
        <f t="shared" si="8"/>
        <v>383715.78682170832</v>
      </c>
      <c r="G56" s="486">
        <f t="shared" si="9"/>
        <v>168304.0053716923</v>
      </c>
      <c r="H56" s="455">
        <f t="shared" si="10"/>
        <v>168304.0053716923</v>
      </c>
      <c r="I56" s="475">
        <f t="shared" si="3"/>
        <v>0</v>
      </c>
      <c r="J56" s="475"/>
      <c r="K56" s="487"/>
      <c r="L56" s="478">
        <f t="shared" si="11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383715.78682170832</v>
      </c>
      <c r="E57" s="484">
        <f t="shared" si="7"/>
        <v>120442.59523809524</v>
      </c>
      <c r="F57" s="485">
        <f t="shared" si="8"/>
        <v>263273.19158361305</v>
      </c>
      <c r="G57" s="486">
        <f t="shared" si="9"/>
        <v>155318.93913081466</v>
      </c>
      <c r="H57" s="455">
        <f t="shared" si="10"/>
        <v>155318.93913081466</v>
      </c>
      <c r="I57" s="475">
        <f t="shared" si="3"/>
        <v>0</v>
      </c>
      <c r="J57" s="475"/>
      <c r="K57" s="487"/>
      <c r="L57" s="478">
        <f t="shared" si="11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263273.19158361305</v>
      </c>
      <c r="E58" s="484">
        <f t="shared" si="7"/>
        <v>120442.59523809524</v>
      </c>
      <c r="F58" s="485">
        <f t="shared" si="8"/>
        <v>142830.59634551781</v>
      </c>
      <c r="G58" s="486">
        <f t="shared" si="9"/>
        <v>142333.87288993702</v>
      </c>
      <c r="H58" s="455">
        <f t="shared" si="10"/>
        <v>142333.87288993702</v>
      </c>
      <c r="I58" s="475">
        <f t="shared" si="3"/>
        <v>0</v>
      </c>
      <c r="J58" s="475"/>
      <c r="K58" s="487"/>
      <c r="L58" s="478">
        <f t="shared" si="11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142830.59634551781</v>
      </c>
      <c r="E59" s="484">
        <f t="shared" si="7"/>
        <v>120442.59523809524</v>
      </c>
      <c r="F59" s="485">
        <f t="shared" si="8"/>
        <v>22388.001107422577</v>
      </c>
      <c r="G59" s="486">
        <f t="shared" si="9"/>
        <v>129348.80664905941</v>
      </c>
      <c r="H59" s="455">
        <f t="shared" si="10"/>
        <v>129348.80664905941</v>
      </c>
      <c r="I59" s="475">
        <f t="shared" si="3"/>
        <v>0</v>
      </c>
      <c r="J59" s="475"/>
      <c r="K59" s="487"/>
      <c r="L59" s="478">
        <f t="shared" si="11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22388.001107422577</v>
      </c>
      <c r="E60" s="484">
        <f t="shared" si="7"/>
        <v>22388.001107422577</v>
      </c>
      <c r="F60" s="485">
        <f t="shared" si="8"/>
        <v>0</v>
      </c>
      <c r="G60" s="486">
        <f t="shared" si="9"/>
        <v>23594.840252685259</v>
      </c>
      <c r="H60" s="455">
        <f t="shared" si="10"/>
        <v>23594.840252685259</v>
      </c>
      <c r="I60" s="475">
        <f t="shared" si="3"/>
        <v>0</v>
      </c>
      <c r="J60" s="475"/>
      <c r="K60" s="487"/>
      <c r="L60" s="478">
        <f t="shared" si="11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11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11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11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11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11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11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11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11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11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11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11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1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5058589</v>
      </c>
      <c r="F73" s="348"/>
      <c r="G73" s="348">
        <f>SUM(G17:G72)</f>
        <v>16754671.874707591</v>
      </c>
      <c r="H73" s="348">
        <f>SUM(H17:H72)</f>
        <v>16754671.874707591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27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635766.39004328649</v>
      </c>
      <c r="N87" s="508">
        <f>IF(J92&lt;D11,0,VLOOKUP(J92,C17:O72,11))</f>
        <v>635766.39004328649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643177.91264105588</v>
      </c>
      <c r="N88" s="512">
        <f>IF(J92&lt;D11,0,VLOOKUP(J92,C99:P154,7))</f>
        <v>643177.91264105588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Broken Arrow North-Lynn Lane East 138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7411.5225977693917</v>
      </c>
      <c r="N89" s="517">
        <f>+N88-N87</f>
        <v>7411.5225977693917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TP2017016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5058589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3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129707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92534.25</v>
      </c>
      <c r="F99" s="584">
        <v>4965987.75</v>
      </c>
      <c r="G99" s="608">
        <v>2482993.875</v>
      </c>
      <c r="H99" s="587">
        <v>348565.74518479535</v>
      </c>
      <c r="I99" s="607">
        <v>348565.74518479535</v>
      </c>
      <c r="J99" s="478">
        <f>+I99-H99</f>
        <v>0</v>
      </c>
      <c r="K99" s="478"/>
      <c r="L99" s="477">
        <f>+H99</f>
        <v>348565.74518479535</v>
      </c>
      <c r="M99" s="477">
        <f t="shared" ref="M99" si="12">IF(L99&lt;&gt;0,+H99-L99,0)</f>
        <v>0</v>
      </c>
      <c r="N99" s="477">
        <f>+I99</f>
        <v>348565.74518479535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84">
        <v>4966054.75</v>
      </c>
      <c r="E100" s="585">
        <v>117642</v>
      </c>
      <c r="F100" s="586">
        <v>4848412.75</v>
      </c>
      <c r="G100" s="586">
        <v>4907233.75</v>
      </c>
      <c r="H100" s="606">
        <v>683432.56004823186</v>
      </c>
      <c r="I100" s="607">
        <v>683432.56004823186</v>
      </c>
      <c r="J100" s="478">
        <f t="shared" ref="J100:J130" si="15">+I100-H100</f>
        <v>0</v>
      </c>
      <c r="K100" s="478"/>
      <c r="L100" s="476">
        <f>H100</f>
        <v>683432.56004823186</v>
      </c>
      <c r="M100" s="349">
        <f>IF(L100&lt;&gt;0,+H100-L100,0)</f>
        <v>0</v>
      </c>
      <c r="N100" s="476">
        <f>I100</f>
        <v>683432.56004823186</v>
      </c>
      <c r="O100" s="478">
        <f t="shared" si="13"/>
        <v>0</v>
      </c>
      <c r="P100" s="478">
        <f t="shared" si="14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2021</v>
      </c>
      <c r="D101" s="584">
        <v>4848412.75</v>
      </c>
      <c r="E101" s="585">
        <v>123380</v>
      </c>
      <c r="F101" s="586">
        <v>4725032.75</v>
      </c>
      <c r="G101" s="586">
        <v>4786722.75</v>
      </c>
      <c r="H101" s="606">
        <v>668074.55118974927</v>
      </c>
      <c r="I101" s="607">
        <v>668074.55118974927</v>
      </c>
      <c r="J101" s="478">
        <f t="shared" si="15"/>
        <v>0</v>
      </c>
      <c r="K101" s="478"/>
      <c r="L101" s="476">
        <f>H101</f>
        <v>668074.55118974927</v>
      </c>
      <c r="M101" s="349">
        <f>IF(L101&lt;&gt;0,+H101-L101,0)</f>
        <v>0</v>
      </c>
      <c r="N101" s="476">
        <f>I101</f>
        <v>668074.55118974927</v>
      </c>
      <c r="O101" s="478">
        <f t="shared" si="13"/>
        <v>0</v>
      </c>
      <c r="P101" s="478">
        <f t="shared" si="14"/>
        <v>0</v>
      </c>
    </row>
    <row r="102" spans="1:16">
      <c r="B102" s="160" t="str">
        <f t="shared" si="16"/>
        <v/>
      </c>
      <c r="C102" s="472">
        <f>IF(D93="","-",+C101+1)</f>
        <v>2022</v>
      </c>
      <c r="D102" s="347">
        <f>IF(F101+SUM(E$99:E101)=D$92,F101,D$92-SUM(E$99:E101))</f>
        <v>4725032.75</v>
      </c>
      <c r="E102" s="484">
        <f t="shared" ref="E102:E154" si="17">IF(+J$96&lt;F101,J$96,D102)</f>
        <v>129707</v>
      </c>
      <c r="F102" s="485">
        <f t="shared" ref="F102:F154" si="18">+D102-E102</f>
        <v>4595325.75</v>
      </c>
      <c r="G102" s="485">
        <f t="shared" ref="G102:G154" si="19">+(F102+D102)/2</f>
        <v>4660179.25</v>
      </c>
      <c r="H102" s="486">
        <f t="shared" ref="H102:H153" si="20">(D102+F102)/2*J$94+E102</f>
        <v>643177.91264105588</v>
      </c>
      <c r="I102" s="542">
        <f t="shared" ref="I102:I153" si="21">+J$95*G102+E102</f>
        <v>643177.91264105588</v>
      </c>
      <c r="J102" s="478">
        <f t="shared" si="15"/>
        <v>0</v>
      </c>
      <c r="K102" s="478"/>
      <c r="L102" s="487"/>
      <c r="M102" s="478">
        <f t="shared" ref="M102:M130" si="22">IF(L102&lt;&gt;0,+H102-L102,0)</f>
        <v>0</v>
      </c>
      <c r="N102" s="487"/>
      <c r="O102" s="478">
        <f t="shared" si="13"/>
        <v>0</v>
      </c>
      <c r="P102" s="478">
        <f t="shared" si="14"/>
        <v>0</v>
      </c>
    </row>
    <row r="103" spans="1:16">
      <c r="B103" s="160" t="str">
        <f t="shared" si="16"/>
        <v/>
      </c>
      <c r="C103" s="472">
        <f>IF(D93="","-",+C102+1)</f>
        <v>2023</v>
      </c>
      <c r="D103" s="347">
        <f>IF(F102+SUM(E$99:E102)=D$92,F102,D$92-SUM(E$99:E102))</f>
        <v>4595325.75</v>
      </c>
      <c r="E103" s="484">
        <f t="shared" si="17"/>
        <v>129707</v>
      </c>
      <c r="F103" s="485">
        <f t="shared" si="18"/>
        <v>4465618.75</v>
      </c>
      <c r="G103" s="485">
        <f t="shared" si="19"/>
        <v>4530472.25</v>
      </c>
      <c r="H103" s="486">
        <f t="shared" si="20"/>
        <v>628886.45128451404</v>
      </c>
      <c r="I103" s="542">
        <f t="shared" si="21"/>
        <v>628886.45128451404</v>
      </c>
      <c r="J103" s="478">
        <f t="shared" si="15"/>
        <v>0</v>
      </c>
      <c r="K103" s="478"/>
      <c r="L103" s="487"/>
      <c r="M103" s="478">
        <f t="shared" si="22"/>
        <v>0</v>
      </c>
      <c r="N103" s="487"/>
      <c r="O103" s="478">
        <f t="shared" si="13"/>
        <v>0</v>
      </c>
      <c r="P103" s="478">
        <f t="shared" si="14"/>
        <v>0</v>
      </c>
    </row>
    <row r="104" spans="1:16">
      <c r="B104" s="160" t="str">
        <f t="shared" si="16"/>
        <v/>
      </c>
      <c r="C104" s="472">
        <f>IF(D93="","-",+C103+1)</f>
        <v>2024</v>
      </c>
      <c r="D104" s="347">
        <f>IF(F103+SUM(E$99:E103)=D$92,F103,D$92-SUM(E$99:E103))</f>
        <v>4465618.75</v>
      </c>
      <c r="E104" s="484">
        <f t="shared" si="17"/>
        <v>129707</v>
      </c>
      <c r="F104" s="485">
        <f t="shared" si="18"/>
        <v>4335911.75</v>
      </c>
      <c r="G104" s="485">
        <f t="shared" si="19"/>
        <v>4400765.25</v>
      </c>
      <c r="H104" s="486">
        <f t="shared" si="20"/>
        <v>614594.9899279722</v>
      </c>
      <c r="I104" s="542">
        <f t="shared" si="21"/>
        <v>614594.9899279722</v>
      </c>
      <c r="J104" s="478">
        <f t="shared" si="15"/>
        <v>0</v>
      </c>
      <c r="K104" s="478"/>
      <c r="L104" s="487"/>
      <c r="M104" s="478">
        <f t="shared" si="22"/>
        <v>0</v>
      </c>
      <c r="N104" s="487"/>
      <c r="O104" s="478">
        <f t="shared" si="13"/>
        <v>0</v>
      </c>
      <c r="P104" s="478">
        <f t="shared" si="14"/>
        <v>0</v>
      </c>
    </row>
    <row r="105" spans="1:16">
      <c r="B105" s="160" t="str">
        <f t="shared" si="16"/>
        <v/>
      </c>
      <c r="C105" s="472">
        <f>IF(D93="","-",+C104+1)</f>
        <v>2025</v>
      </c>
      <c r="D105" s="347">
        <f>IF(F104+SUM(E$99:E104)=D$92,F104,D$92-SUM(E$99:E104))</f>
        <v>4335911.75</v>
      </c>
      <c r="E105" s="484">
        <f t="shared" si="17"/>
        <v>129707</v>
      </c>
      <c r="F105" s="485">
        <f t="shared" si="18"/>
        <v>4206204.75</v>
      </c>
      <c r="G105" s="485">
        <f t="shared" si="19"/>
        <v>4271058.25</v>
      </c>
      <c r="H105" s="486">
        <f t="shared" si="20"/>
        <v>600303.52857143024</v>
      </c>
      <c r="I105" s="542">
        <f t="shared" si="21"/>
        <v>600303.52857143024</v>
      </c>
      <c r="J105" s="478">
        <f t="shared" si="15"/>
        <v>0</v>
      </c>
      <c r="K105" s="478"/>
      <c r="L105" s="487"/>
      <c r="M105" s="478">
        <f t="shared" si="22"/>
        <v>0</v>
      </c>
      <c r="N105" s="487"/>
      <c r="O105" s="478">
        <f t="shared" si="13"/>
        <v>0</v>
      </c>
      <c r="P105" s="478">
        <f t="shared" si="14"/>
        <v>0</v>
      </c>
    </row>
    <row r="106" spans="1:16">
      <c r="B106" s="160" t="str">
        <f t="shared" si="16"/>
        <v/>
      </c>
      <c r="C106" s="472">
        <f>IF(D93="","-",+C105+1)</f>
        <v>2026</v>
      </c>
      <c r="D106" s="347">
        <f>IF(F105+SUM(E$99:E105)=D$92,F105,D$92-SUM(E$99:E105))</f>
        <v>4206204.75</v>
      </c>
      <c r="E106" s="484">
        <f t="shared" si="17"/>
        <v>129707</v>
      </c>
      <c r="F106" s="485">
        <f t="shared" si="18"/>
        <v>4076497.75</v>
      </c>
      <c r="G106" s="485">
        <f t="shared" si="19"/>
        <v>4141351.25</v>
      </c>
      <c r="H106" s="486">
        <f t="shared" si="20"/>
        <v>586012.06721488829</v>
      </c>
      <c r="I106" s="542">
        <f t="shared" si="21"/>
        <v>586012.06721488829</v>
      </c>
      <c r="J106" s="478">
        <f t="shared" si="15"/>
        <v>0</v>
      </c>
      <c r="K106" s="478"/>
      <c r="L106" s="487"/>
      <c r="M106" s="478">
        <f t="shared" si="22"/>
        <v>0</v>
      </c>
      <c r="N106" s="487"/>
      <c r="O106" s="478">
        <f t="shared" si="13"/>
        <v>0</v>
      </c>
      <c r="P106" s="478">
        <f t="shared" si="14"/>
        <v>0</v>
      </c>
    </row>
    <row r="107" spans="1:16">
      <c r="B107" s="160" t="str">
        <f t="shared" si="16"/>
        <v/>
      </c>
      <c r="C107" s="472">
        <f>IF(D93="","-",+C106+1)</f>
        <v>2027</v>
      </c>
      <c r="D107" s="347">
        <f>IF(F106+SUM(E$99:E106)=D$92,F106,D$92-SUM(E$99:E106))</f>
        <v>4076497.75</v>
      </c>
      <c r="E107" s="484">
        <f t="shared" si="17"/>
        <v>129707</v>
      </c>
      <c r="F107" s="485">
        <f t="shared" si="18"/>
        <v>3946790.75</v>
      </c>
      <c r="G107" s="485">
        <f t="shared" si="19"/>
        <v>4011644.25</v>
      </c>
      <c r="H107" s="486">
        <f t="shared" si="20"/>
        <v>571720.60585834645</v>
      </c>
      <c r="I107" s="542">
        <f t="shared" si="21"/>
        <v>571720.60585834645</v>
      </c>
      <c r="J107" s="478">
        <f t="shared" si="15"/>
        <v>0</v>
      </c>
      <c r="K107" s="478"/>
      <c r="L107" s="487"/>
      <c r="M107" s="478">
        <f t="shared" si="22"/>
        <v>0</v>
      </c>
      <c r="N107" s="487"/>
      <c r="O107" s="478">
        <f t="shared" si="13"/>
        <v>0</v>
      </c>
      <c r="P107" s="478">
        <f t="shared" si="14"/>
        <v>0</v>
      </c>
    </row>
    <row r="108" spans="1:16">
      <c r="B108" s="160" t="str">
        <f t="shared" si="16"/>
        <v/>
      </c>
      <c r="C108" s="472">
        <f>IF(D93="","-",+C107+1)</f>
        <v>2028</v>
      </c>
      <c r="D108" s="347">
        <f>IF(F107+SUM(E$99:E107)=D$92,F107,D$92-SUM(E$99:E107))</f>
        <v>3946790.75</v>
      </c>
      <c r="E108" s="484">
        <f t="shared" si="17"/>
        <v>129707</v>
      </c>
      <c r="F108" s="485">
        <f t="shared" si="18"/>
        <v>3817083.75</v>
      </c>
      <c r="G108" s="485">
        <f t="shared" si="19"/>
        <v>3881937.25</v>
      </c>
      <c r="H108" s="486">
        <f t="shared" si="20"/>
        <v>557429.14450180449</v>
      </c>
      <c r="I108" s="542">
        <f t="shared" si="21"/>
        <v>557429.14450180449</v>
      </c>
      <c r="J108" s="478">
        <f t="shared" si="15"/>
        <v>0</v>
      </c>
      <c r="K108" s="478"/>
      <c r="L108" s="487"/>
      <c r="M108" s="478">
        <f t="shared" si="22"/>
        <v>0</v>
      </c>
      <c r="N108" s="487"/>
      <c r="O108" s="478">
        <f t="shared" si="13"/>
        <v>0</v>
      </c>
      <c r="P108" s="478">
        <f t="shared" si="14"/>
        <v>0</v>
      </c>
    </row>
    <row r="109" spans="1:16">
      <c r="B109" s="160" t="str">
        <f t="shared" si="16"/>
        <v/>
      </c>
      <c r="C109" s="472">
        <f>IF(D93="","-",+C108+1)</f>
        <v>2029</v>
      </c>
      <c r="D109" s="347">
        <f>IF(F108+SUM(E$99:E108)=D$92,F108,D$92-SUM(E$99:E108))</f>
        <v>3817083.75</v>
      </c>
      <c r="E109" s="484">
        <f t="shared" si="17"/>
        <v>129707</v>
      </c>
      <c r="F109" s="485">
        <f t="shared" si="18"/>
        <v>3687376.75</v>
      </c>
      <c r="G109" s="485">
        <f t="shared" si="19"/>
        <v>3752230.25</v>
      </c>
      <c r="H109" s="486">
        <f t="shared" si="20"/>
        <v>543137.68314526253</v>
      </c>
      <c r="I109" s="542">
        <f t="shared" si="21"/>
        <v>543137.68314526253</v>
      </c>
      <c r="J109" s="478">
        <f t="shared" si="15"/>
        <v>0</v>
      </c>
      <c r="K109" s="478"/>
      <c r="L109" s="487"/>
      <c r="M109" s="478">
        <f t="shared" si="22"/>
        <v>0</v>
      </c>
      <c r="N109" s="487"/>
      <c r="O109" s="478">
        <f t="shared" si="13"/>
        <v>0</v>
      </c>
      <c r="P109" s="478">
        <f t="shared" si="14"/>
        <v>0</v>
      </c>
    </row>
    <row r="110" spans="1:16">
      <c r="B110" s="160" t="str">
        <f t="shared" si="16"/>
        <v/>
      </c>
      <c r="C110" s="472">
        <f>IF(D93="","-",+C109+1)</f>
        <v>2030</v>
      </c>
      <c r="D110" s="347">
        <f>IF(F109+SUM(E$99:E109)=D$92,F109,D$92-SUM(E$99:E109))</f>
        <v>3687376.75</v>
      </c>
      <c r="E110" s="484">
        <f t="shared" si="17"/>
        <v>129707</v>
      </c>
      <c r="F110" s="485">
        <f t="shared" si="18"/>
        <v>3557669.75</v>
      </c>
      <c r="G110" s="485">
        <f t="shared" si="19"/>
        <v>3622523.25</v>
      </c>
      <c r="H110" s="486">
        <f t="shared" si="20"/>
        <v>528846.22178872069</v>
      </c>
      <c r="I110" s="542">
        <f t="shared" si="21"/>
        <v>528846.22178872069</v>
      </c>
      <c r="J110" s="478">
        <f t="shared" si="15"/>
        <v>0</v>
      </c>
      <c r="K110" s="478"/>
      <c r="L110" s="487"/>
      <c r="M110" s="478">
        <f t="shared" si="22"/>
        <v>0</v>
      </c>
      <c r="N110" s="487"/>
      <c r="O110" s="478">
        <f t="shared" si="13"/>
        <v>0</v>
      </c>
      <c r="P110" s="478">
        <f t="shared" si="14"/>
        <v>0</v>
      </c>
    </row>
    <row r="111" spans="1:16">
      <c r="B111" s="160" t="str">
        <f t="shared" si="16"/>
        <v/>
      </c>
      <c r="C111" s="472">
        <f>IF(D93="","-",+C110+1)</f>
        <v>2031</v>
      </c>
      <c r="D111" s="347">
        <f>IF(F110+SUM(E$99:E110)=D$92,F110,D$92-SUM(E$99:E110))</f>
        <v>3557669.75</v>
      </c>
      <c r="E111" s="484">
        <f t="shared" si="17"/>
        <v>129707</v>
      </c>
      <c r="F111" s="485">
        <f t="shared" si="18"/>
        <v>3427962.75</v>
      </c>
      <c r="G111" s="485">
        <f t="shared" si="19"/>
        <v>3492816.25</v>
      </c>
      <c r="H111" s="486">
        <f t="shared" si="20"/>
        <v>514554.76043217879</v>
      </c>
      <c r="I111" s="542">
        <f t="shared" si="21"/>
        <v>514554.76043217879</v>
      </c>
      <c r="J111" s="478">
        <f t="shared" si="15"/>
        <v>0</v>
      </c>
      <c r="K111" s="478"/>
      <c r="L111" s="487"/>
      <c r="M111" s="478">
        <f t="shared" si="22"/>
        <v>0</v>
      </c>
      <c r="N111" s="487"/>
      <c r="O111" s="478">
        <f t="shared" si="13"/>
        <v>0</v>
      </c>
      <c r="P111" s="478">
        <f t="shared" si="14"/>
        <v>0</v>
      </c>
    </row>
    <row r="112" spans="1:16">
      <c r="B112" s="160" t="str">
        <f t="shared" si="16"/>
        <v/>
      </c>
      <c r="C112" s="472">
        <f>IF(D93="","-",+C111+1)</f>
        <v>2032</v>
      </c>
      <c r="D112" s="347">
        <f>IF(F111+SUM(E$99:E111)=D$92,F111,D$92-SUM(E$99:E111))</f>
        <v>3427962.75</v>
      </c>
      <c r="E112" s="484">
        <f t="shared" si="17"/>
        <v>129707</v>
      </c>
      <c r="F112" s="485">
        <f t="shared" si="18"/>
        <v>3298255.75</v>
      </c>
      <c r="G112" s="485">
        <f t="shared" si="19"/>
        <v>3363109.25</v>
      </c>
      <c r="H112" s="486">
        <f t="shared" si="20"/>
        <v>500263.2990756369</v>
      </c>
      <c r="I112" s="542">
        <f t="shared" si="21"/>
        <v>500263.2990756369</v>
      </c>
      <c r="J112" s="478">
        <f t="shared" si="15"/>
        <v>0</v>
      </c>
      <c r="K112" s="478"/>
      <c r="L112" s="487"/>
      <c r="M112" s="478">
        <f t="shared" si="22"/>
        <v>0</v>
      </c>
      <c r="N112" s="487"/>
      <c r="O112" s="478">
        <f t="shared" si="13"/>
        <v>0</v>
      </c>
      <c r="P112" s="478">
        <f t="shared" si="14"/>
        <v>0</v>
      </c>
    </row>
    <row r="113" spans="2:16">
      <c r="B113" s="160" t="str">
        <f t="shared" si="16"/>
        <v/>
      </c>
      <c r="C113" s="472">
        <f>IF(D93="","-",+C112+1)</f>
        <v>2033</v>
      </c>
      <c r="D113" s="347">
        <f>IF(F112+SUM(E$99:E112)=D$92,F112,D$92-SUM(E$99:E112))</f>
        <v>3298255.75</v>
      </c>
      <c r="E113" s="484">
        <f t="shared" si="17"/>
        <v>129707</v>
      </c>
      <c r="F113" s="485">
        <f t="shared" si="18"/>
        <v>3168548.75</v>
      </c>
      <c r="G113" s="485">
        <f t="shared" si="19"/>
        <v>3233402.25</v>
      </c>
      <c r="H113" s="486">
        <f t="shared" si="20"/>
        <v>485971.837719095</v>
      </c>
      <c r="I113" s="542">
        <f t="shared" si="21"/>
        <v>485971.837719095</v>
      </c>
      <c r="J113" s="478">
        <f t="shared" si="15"/>
        <v>0</v>
      </c>
      <c r="K113" s="478"/>
      <c r="L113" s="487"/>
      <c r="M113" s="478">
        <f t="shared" si="22"/>
        <v>0</v>
      </c>
      <c r="N113" s="487"/>
      <c r="O113" s="478">
        <f t="shared" si="13"/>
        <v>0</v>
      </c>
      <c r="P113" s="478">
        <f t="shared" si="14"/>
        <v>0</v>
      </c>
    </row>
    <row r="114" spans="2:16">
      <c r="B114" s="160" t="str">
        <f t="shared" si="16"/>
        <v/>
      </c>
      <c r="C114" s="472">
        <f>IF(D93="","-",+C113+1)</f>
        <v>2034</v>
      </c>
      <c r="D114" s="347">
        <f>IF(F113+SUM(E$99:E113)=D$92,F113,D$92-SUM(E$99:E113))</f>
        <v>3168548.75</v>
      </c>
      <c r="E114" s="484">
        <f t="shared" si="17"/>
        <v>129707</v>
      </c>
      <c r="F114" s="485">
        <f t="shared" si="18"/>
        <v>3038841.75</v>
      </c>
      <c r="G114" s="485">
        <f t="shared" si="19"/>
        <v>3103695.25</v>
      </c>
      <c r="H114" s="486">
        <f t="shared" si="20"/>
        <v>471680.37636255304</v>
      </c>
      <c r="I114" s="542">
        <f t="shared" si="21"/>
        <v>471680.37636255304</v>
      </c>
      <c r="J114" s="478">
        <f t="shared" si="15"/>
        <v>0</v>
      </c>
      <c r="K114" s="478"/>
      <c r="L114" s="487"/>
      <c r="M114" s="478">
        <f t="shared" si="22"/>
        <v>0</v>
      </c>
      <c r="N114" s="487"/>
      <c r="O114" s="478">
        <f t="shared" si="13"/>
        <v>0</v>
      </c>
      <c r="P114" s="478">
        <f t="shared" si="14"/>
        <v>0</v>
      </c>
    </row>
    <row r="115" spans="2:16">
      <c r="B115" s="160" t="str">
        <f t="shared" si="16"/>
        <v/>
      </c>
      <c r="C115" s="472">
        <f>IF(D93="","-",+C114+1)</f>
        <v>2035</v>
      </c>
      <c r="D115" s="347">
        <f>IF(F114+SUM(E$99:E114)=D$92,F114,D$92-SUM(E$99:E114))</f>
        <v>3038841.75</v>
      </c>
      <c r="E115" s="484">
        <f t="shared" si="17"/>
        <v>129707</v>
      </c>
      <c r="F115" s="485">
        <f t="shared" si="18"/>
        <v>2909134.75</v>
      </c>
      <c r="G115" s="485">
        <f t="shared" si="19"/>
        <v>2973988.25</v>
      </c>
      <c r="H115" s="486">
        <f t="shared" si="20"/>
        <v>457388.91500601114</v>
      </c>
      <c r="I115" s="542">
        <f t="shared" si="21"/>
        <v>457388.91500601114</v>
      </c>
      <c r="J115" s="478">
        <f t="shared" si="15"/>
        <v>0</v>
      </c>
      <c r="K115" s="478"/>
      <c r="L115" s="487"/>
      <c r="M115" s="478">
        <f t="shared" si="22"/>
        <v>0</v>
      </c>
      <c r="N115" s="487"/>
      <c r="O115" s="478">
        <f t="shared" si="13"/>
        <v>0</v>
      </c>
      <c r="P115" s="478">
        <f t="shared" si="14"/>
        <v>0</v>
      </c>
    </row>
    <row r="116" spans="2:16">
      <c r="B116" s="160" t="str">
        <f t="shared" si="16"/>
        <v/>
      </c>
      <c r="C116" s="472">
        <f>IF(D93="","-",+C115+1)</f>
        <v>2036</v>
      </c>
      <c r="D116" s="347">
        <f>IF(F115+SUM(E$99:E115)=D$92,F115,D$92-SUM(E$99:E115))</f>
        <v>2909134.75</v>
      </c>
      <c r="E116" s="484">
        <f t="shared" si="17"/>
        <v>129707</v>
      </c>
      <c r="F116" s="485">
        <f t="shared" si="18"/>
        <v>2779427.75</v>
      </c>
      <c r="G116" s="485">
        <f t="shared" si="19"/>
        <v>2844281.25</v>
      </c>
      <c r="H116" s="486">
        <f t="shared" si="20"/>
        <v>443097.45364946924</v>
      </c>
      <c r="I116" s="542">
        <f t="shared" si="21"/>
        <v>443097.45364946924</v>
      </c>
      <c r="J116" s="478">
        <f t="shared" si="15"/>
        <v>0</v>
      </c>
      <c r="K116" s="478"/>
      <c r="L116" s="487"/>
      <c r="M116" s="478">
        <f t="shared" si="22"/>
        <v>0</v>
      </c>
      <c r="N116" s="487"/>
      <c r="O116" s="478">
        <f t="shared" si="13"/>
        <v>0</v>
      </c>
      <c r="P116" s="478">
        <f t="shared" si="14"/>
        <v>0</v>
      </c>
    </row>
    <row r="117" spans="2:16">
      <c r="B117" s="160" t="str">
        <f t="shared" si="16"/>
        <v/>
      </c>
      <c r="C117" s="472">
        <f>IF(D93="","-",+C116+1)</f>
        <v>2037</v>
      </c>
      <c r="D117" s="347">
        <f>IF(F116+SUM(E$99:E116)=D$92,F116,D$92-SUM(E$99:E116))</f>
        <v>2779427.75</v>
      </c>
      <c r="E117" s="484">
        <f t="shared" si="17"/>
        <v>129707</v>
      </c>
      <c r="F117" s="485">
        <f t="shared" si="18"/>
        <v>2649720.75</v>
      </c>
      <c r="G117" s="485">
        <f t="shared" si="19"/>
        <v>2714574.25</v>
      </c>
      <c r="H117" s="486">
        <f t="shared" si="20"/>
        <v>428805.99229292735</v>
      </c>
      <c r="I117" s="542">
        <f t="shared" si="21"/>
        <v>428805.99229292735</v>
      </c>
      <c r="J117" s="478">
        <f t="shared" si="15"/>
        <v>0</v>
      </c>
      <c r="K117" s="478"/>
      <c r="L117" s="487"/>
      <c r="M117" s="478">
        <f t="shared" si="22"/>
        <v>0</v>
      </c>
      <c r="N117" s="487"/>
      <c r="O117" s="478">
        <f t="shared" si="13"/>
        <v>0</v>
      </c>
      <c r="P117" s="478">
        <f t="shared" si="14"/>
        <v>0</v>
      </c>
    </row>
    <row r="118" spans="2:16">
      <c r="B118" s="160" t="str">
        <f t="shared" si="16"/>
        <v/>
      </c>
      <c r="C118" s="472">
        <f>IF(D93="","-",+C117+1)</f>
        <v>2038</v>
      </c>
      <c r="D118" s="347">
        <f>IF(F117+SUM(E$99:E117)=D$92,F117,D$92-SUM(E$99:E117))</f>
        <v>2649720.75</v>
      </c>
      <c r="E118" s="484">
        <f t="shared" si="17"/>
        <v>129707</v>
      </c>
      <c r="F118" s="485">
        <f t="shared" si="18"/>
        <v>2520013.75</v>
      </c>
      <c r="G118" s="485">
        <f t="shared" si="19"/>
        <v>2584867.25</v>
      </c>
      <c r="H118" s="486">
        <f t="shared" si="20"/>
        <v>414514.53093638545</v>
      </c>
      <c r="I118" s="542">
        <f t="shared" si="21"/>
        <v>414514.53093638545</v>
      </c>
      <c r="J118" s="478">
        <f t="shared" si="15"/>
        <v>0</v>
      </c>
      <c r="K118" s="478"/>
      <c r="L118" s="487"/>
      <c r="M118" s="478">
        <f t="shared" si="22"/>
        <v>0</v>
      </c>
      <c r="N118" s="487"/>
      <c r="O118" s="478">
        <f t="shared" si="13"/>
        <v>0</v>
      </c>
      <c r="P118" s="478">
        <f t="shared" si="14"/>
        <v>0</v>
      </c>
    </row>
    <row r="119" spans="2:16">
      <c r="B119" s="160" t="str">
        <f t="shared" si="16"/>
        <v/>
      </c>
      <c r="C119" s="472">
        <f>IF(D93="","-",+C118+1)</f>
        <v>2039</v>
      </c>
      <c r="D119" s="347">
        <f>IF(F118+SUM(E$99:E118)=D$92,F118,D$92-SUM(E$99:E118))</f>
        <v>2520013.75</v>
      </c>
      <c r="E119" s="484">
        <f t="shared" si="17"/>
        <v>129707</v>
      </c>
      <c r="F119" s="485">
        <f t="shared" si="18"/>
        <v>2390306.75</v>
      </c>
      <c r="G119" s="485">
        <f t="shared" si="19"/>
        <v>2455160.25</v>
      </c>
      <c r="H119" s="486">
        <f t="shared" si="20"/>
        <v>400223.06957984355</v>
      </c>
      <c r="I119" s="542">
        <f t="shared" si="21"/>
        <v>400223.06957984355</v>
      </c>
      <c r="J119" s="478">
        <f t="shared" si="15"/>
        <v>0</v>
      </c>
      <c r="K119" s="478"/>
      <c r="L119" s="487"/>
      <c r="M119" s="478">
        <f t="shared" si="22"/>
        <v>0</v>
      </c>
      <c r="N119" s="487"/>
      <c r="O119" s="478">
        <f t="shared" si="13"/>
        <v>0</v>
      </c>
      <c r="P119" s="478">
        <f t="shared" si="14"/>
        <v>0</v>
      </c>
    </row>
    <row r="120" spans="2:16">
      <c r="B120" s="160" t="str">
        <f t="shared" si="16"/>
        <v/>
      </c>
      <c r="C120" s="472">
        <f>IF(D93="","-",+C119+1)</f>
        <v>2040</v>
      </c>
      <c r="D120" s="347">
        <f>IF(F119+SUM(E$99:E119)=D$92,F119,D$92-SUM(E$99:E119))</f>
        <v>2390306.75</v>
      </c>
      <c r="E120" s="484">
        <f t="shared" si="17"/>
        <v>129707</v>
      </c>
      <c r="F120" s="485">
        <f t="shared" si="18"/>
        <v>2260599.75</v>
      </c>
      <c r="G120" s="485">
        <f t="shared" si="19"/>
        <v>2325453.25</v>
      </c>
      <c r="H120" s="486">
        <f t="shared" si="20"/>
        <v>385931.60822330159</v>
      </c>
      <c r="I120" s="542">
        <f t="shared" si="21"/>
        <v>385931.60822330159</v>
      </c>
      <c r="J120" s="478">
        <f t="shared" si="15"/>
        <v>0</v>
      </c>
      <c r="K120" s="478"/>
      <c r="L120" s="487"/>
      <c r="M120" s="478">
        <f t="shared" si="22"/>
        <v>0</v>
      </c>
      <c r="N120" s="487"/>
      <c r="O120" s="478">
        <f t="shared" si="13"/>
        <v>0</v>
      </c>
      <c r="P120" s="478">
        <f t="shared" si="14"/>
        <v>0</v>
      </c>
    </row>
    <row r="121" spans="2:16">
      <c r="B121" s="160" t="str">
        <f t="shared" si="16"/>
        <v/>
      </c>
      <c r="C121" s="472">
        <f>IF(D93="","-",+C120+1)</f>
        <v>2041</v>
      </c>
      <c r="D121" s="347">
        <f>IF(F120+SUM(E$99:E120)=D$92,F120,D$92-SUM(E$99:E120))</f>
        <v>2260599.75</v>
      </c>
      <c r="E121" s="484">
        <f t="shared" si="17"/>
        <v>129707</v>
      </c>
      <c r="F121" s="485">
        <f t="shared" si="18"/>
        <v>2130892.75</v>
      </c>
      <c r="G121" s="485">
        <f t="shared" si="19"/>
        <v>2195746.25</v>
      </c>
      <c r="H121" s="486">
        <f t="shared" si="20"/>
        <v>371640.14686675975</v>
      </c>
      <c r="I121" s="542">
        <f t="shared" si="21"/>
        <v>371640.14686675975</v>
      </c>
      <c r="J121" s="478">
        <f t="shared" si="15"/>
        <v>0</v>
      </c>
      <c r="K121" s="478"/>
      <c r="L121" s="487"/>
      <c r="M121" s="478">
        <f t="shared" si="22"/>
        <v>0</v>
      </c>
      <c r="N121" s="487"/>
      <c r="O121" s="478">
        <f t="shared" si="13"/>
        <v>0</v>
      </c>
      <c r="P121" s="478">
        <f t="shared" si="14"/>
        <v>0</v>
      </c>
    </row>
    <row r="122" spans="2:16">
      <c r="B122" s="160" t="str">
        <f t="shared" si="16"/>
        <v/>
      </c>
      <c r="C122" s="472">
        <f>IF(D93="","-",+C121+1)</f>
        <v>2042</v>
      </c>
      <c r="D122" s="347">
        <f>IF(F121+SUM(E$99:E121)=D$92,F121,D$92-SUM(E$99:E121))</f>
        <v>2130892.75</v>
      </c>
      <c r="E122" s="484">
        <f t="shared" si="17"/>
        <v>129707</v>
      </c>
      <c r="F122" s="485">
        <f t="shared" si="18"/>
        <v>2001185.75</v>
      </c>
      <c r="G122" s="485">
        <f t="shared" si="19"/>
        <v>2066039.25</v>
      </c>
      <c r="H122" s="486">
        <f t="shared" si="20"/>
        <v>357348.68551021779</v>
      </c>
      <c r="I122" s="542">
        <f t="shared" si="21"/>
        <v>357348.68551021779</v>
      </c>
      <c r="J122" s="478">
        <f t="shared" si="15"/>
        <v>0</v>
      </c>
      <c r="K122" s="478"/>
      <c r="L122" s="487"/>
      <c r="M122" s="478">
        <f t="shared" si="22"/>
        <v>0</v>
      </c>
      <c r="N122" s="487"/>
      <c r="O122" s="478">
        <f t="shared" si="13"/>
        <v>0</v>
      </c>
      <c r="P122" s="478">
        <f t="shared" si="14"/>
        <v>0</v>
      </c>
    </row>
    <row r="123" spans="2:16">
      <c r="B123" s="160" t="str">
        <f t="shared" si="16"/>
        <v/>
      </c>
      <c r="C123" s="472">
        <f>IF(D93="","-",+C122+1)</f>
        <v>2043</v>
      </c>
      <c r="D123" s="347">
        <f>IF(F122+SUM(E$99:E122)=D$92,F122,D$92-SUM(E$99:E122))</f>
        <v>2001185.75</v>
      </c>
      <c r="E123" s="484">
        <f t="shared" si="17"/>
        <v>129707</v>
      </c>
      <c r="F123" s="485">
        <f t="shared" si="18"/>
        <v>1871478.75</v>
      </c>
      <c r="G123" s="485">
        <f t="shared" si="19"/>
        <v>1936332.25</v>
      </c>
      <c r="H123" s="486">
        <f t="shared" si="20"/>
        <v>343057.22415367595</v>
      </c>
      <c r="I123" s="542">
        <f t="shared" si="21"/>
        <v>343057.22415367595</v>
      </c>
      <c r="J123" s="478">
        <f t="shared" si="15"/>
        <v>0</v>
      </c>
      <c r="K123" s="478"/>
      <c r="L123" s="487"/>
      <c r="M123" s="478">
        <f t="shared" si="22"/>
        <v>0</v>
      </c>
      <c r="N123" s="487"/>
      <c r="O123" s="478">
        <f t="shared" si="13"/>
        <v>0</v>
      </c>
      <c r="P123" s="478">
        <f t="shared" si="14"/>
        <v>0</v>
      </c>
    </row>
    <row r="124" spans="2:16">
      <c r="B124" s="160" t="str">
        <f t="shared" si="16"/>
        <v/>
      </c>
      <c r="C124" s="472">
        <f>IF(D93="","-",+C123+1)</f>
        <v>2044</v>
      </c>
      <c r="D124" s="347">
        <f>IF(F123+SUM(E$99:E123)=D$92,F123,D$92-SUM(E$99:E123))</f>
        <v>1871478.75</v>
      </c>
      <c r="E124" s="484">
        <f t="shared" si="17"/>
        <v>129707</v>
      </c>
      <c r="F124" s="485">
        <f t="shared" si="18"/>
        <v>1741771.75</v>
      </c>
      <c r="G124" s="485">
        <f t="shared" si="19"/>
        <v>1806625.25</v>
      </c>
      <c r="H124" s="486">
        <f t="shared" si="20"/>
        <v>328765.762797134</v>
      </c>
      <c r="I124" s="542">
        <f t="shared" si="21"/>
        <v>328765.762797134</v>
      </c>
      <c r="J124" s="478">
        <f t="shared" si="15"/>
        <v>0</v>
      </c>
      <c r="K124" s="478"/>
      <c r="L124" s="487"/>
      <c r="M124" s="478">
        <f t="shared" si="22"/>
        <v>0</v>
      </c>
      <c r="N124" s="487"/>
      <c r="O124" s="478">
        <f t="shared" si="13"/>
        <v>0</v>
      </c>
      <c r="P124" s="478">
        <f t="shared" si="14"/>
        <v>0</v>
      </c>
    </row>
    <row r="125" spans="2:16">
      <c r="B125" s="160" t="str">
        <f t="shared" si="16"/>
        <v/>
      </c>
      <c r="C125" s="472">
        <f>IF(D93="","-",+C124+1)</f>
        <v>2045</v>
      </c>
      <c r="D125" s="347">
        <f>IF(F124+SUM(E$99:E124)=D$92,F124,D$92-SUM(E$99:E124))</f>
        <v>1741771.75</v>
      </c>
      <c r="E125" s="484">
        <f t="shared" si="17"/>
        <v>129707</v>
      </c>
      <c r="F125" s="485">
        <f t="shared" si="18"/>
        <v>1612064.75</v>
      </c>
      <c r="G125" s="485">
        <f t="shared" si="19"/>
        <v>1676918.25</v>
      </c>
      <c r="H125" s="486">
        <f t="shared" si="20"/>
        <v>314474.3014405921</v>
      </c>
      <c r="I125" s="542">
        <f t="shared" si="21"/>
        <v>314474.3014405921</v>
      </c>
      <c r="J125" s="478">
        <f t="shared" si="15"/>
        <v>0</v>
      </c>
      <c r="K125" s="478"/>
      <c r="L125" s="487"/>
      <c r="M125" s="478">
        <f t="shared" si="22"/>
        <v>0</v>
      </c>
      <c r="N125" s="487"/>
      <c r="O125" s="478">
        <f t="shared" si="13"/>
        <v>0</v>
      </c>
      <c r="P125" s="478">
        <f t="shared" si="14"/>
        <v>0</v>
      </c>
    </row>
    <row r="126" spans="2:16">
      <c r="B126" s="160" t="str">
        <f t="shared" si="16"/>
        <v/>
      </c>
      <c r="C126" s="472">
        <f>IF(D93="","-",+C125+1)</f>
        <v>2046</v>
      </c>
      <c r="D126" s="347">
        <f>IF(F125+SUM(E$99:E125)=D$92,F125,D$92-SUM(E$99:E125))</f>
        <v>1612064.75</v>
      </c>
      <c r="E126" s="484">
        <f t="shared" si="17"/>
        <v>129707</v>
      </c>
      <c r="F126" s="485">
        <f t="shared" si="18"/>
        <v>1482357.75</v>
      </c>
      <c r="G126" s="485">
        <f t="shared" si="19"/>
        <v>1547211.25</v>
      </c>
      <c r="H126" s="486">
        <f t="shared" si="20"/>
        <v>300182.8400840502</v>
      </c>
      <c r="I126" s="542">
        <f t="shared" si="21"/>
        <v>300182.8400840502</v>
      </c>
      <c r="J126" s="478">
        <f t="shared" si="15"/>
        <v>0</v>
      </c>
      <c r="K126" s="478"/>
      <c r="L126" s="487"/>
      <c r="M126" s="478">
        <f t="shared" si="22"/>
        <v>0</v>
      </c>
      <c r="N126" s="487"/>
      <c r="O126" s="478">
        <f t="shared" si="13"/>
        <v>0</v>
      </c>
      <c r="P126" s="478">
        <f t="shared" si="14"/>
        <v>0</v>
      </c>
    </row>
    <row r="127" spans="2:16">
      <c r="B127" s="160" t="str">
        <f t="shared" si="16"/>
        <v/>
      </c>
      <c r="C127" s="472">
        <f>IF(D93="","-",+C126+1)</f>
        <v>2047</v>
      </c>
      <c r="D127" s="347">
        <f>IF(F126+SUM(E$99:E126)=D$92,F126,D$92-SUM(E$99:E126))</f>
        <v>1482357.75</v>
      </c>
      <c r="E127" s="484">
        <f t="shared" si="17"/>
        <v>129707</v>
      </c>
      <c r="F127" s="485">
        <f t="shared" si="18"/>
        <v>1352650.75</v>
      </c>
      <c r="G127" s="485">
        <f t="shared" si="19"/>
        <v>1417504.25</v>
      </c>
      <c r="H127" s="486">
        <f t="shared" si="20"/>
        <v>285891.37872750824</v>
      </c>
      <c r="I127" s="542">
        <f t="shared" si="21"/>
        <v>285891.37872750824</v>
      </c>
      <c r="J127" s="478">
        <f t="shared" si="15"/>
        <v>0</v>
      </c>
      <c r="K127" s="478"/>
      <c r="L127" s="487"/>
      <c r="M127" s="478">
        <f t="shared" si="22"/>
        <v>0</v>
      </c>
      <c r="N127" s="487"/>
      <c r="O127" s="478">
        <f t="shared" si="13"/>
        <v>0</v>
      </c>
      <c r="P127" s="478">
        <f t="shared" si="14"/>
        <v>0</v>
      </c>
    </row>
    <row r="128" spans="2:16">
      <c r="B128" s="160" t="str">
        <f t="shared" si="16"/>
        <v/>
      </c>
      <c r="C128" s="472">
        <f>IF(D93="","-",+C127+1)</f>
        <v>2048</v>
      </c>
      <c r="D128" s="347">
        <f>IF(F127+SUM(E$99:E127)=D$92,F127,D$92-SUM(E$99:E127))</f>
        <v>1352650.75</v>
      </c>
      <c r="E128" s="484">
        <f t="shared" si="17"/>
        <v>129707</v>
      </c>
      <c r="F128" s="485">
        <f t="shared" si="18"/>
        <v>1222943.75</v>
      </c>
      <c r="G128" s="485">
        <f t="shared" si="19"/>
        <v>1287797.25</v>
      </c>
      <c r="H128" s="486">
        <f t="shared" si="20"/>
        <v>271599.9173709664</v>
      </c>
      <c r="I128" s="542">
        <f t="shared" si="21"/>
        <v>271599.9173709664</v>
      </c>
      <c r="J128" s="478">
        <f t="shared" si="15"/>
        <v>0</v>
      </c>
      <c r="K128" s="478"/>
      <c r="L128" s="487"/>
      <c r="M128" s="478">
        <f t="shared" si="22"/>
        <v>0</v>
      </c>
      <c r="N128" s="487"/>
      <c r="O128" s="478">
        <f t="shared" si="13"/>
        <v>0</v>
      </c>
      <c r="P128" s="478">
        <f t="shared" si="14"/>
        <v>0</v>
      </c>
    </row>
    <row r="129" spans="2:16">
      <c r="B129" s="160" t="str">
        <f t="shared" si="16"/>
        <v/>
      </c>
      <c r="C129" s="472">
        <f>IF(D93="","-",+C128+1)</f>
        <v>2049</v>
      </c>
      <c r="D129" s="347">
        <f>IF(F128+SUM(E$99:E128)=D$92,F128,D$92-SUM(E$99:E128))</f>
        <v>1222943.75</v>
      </c>
      <c r="E129" s="484">
        <f t="shared" si="17"/>
        <v>129707</v>
      </c>
      <c r="F129" s="485">
        <f t="shared" si="18"/>
        <v>1093236.75</v>
      </c>
      <c r="G129" s="485">
        <f t="shared" si="19"/>
        <v>1158090.25</v>
      </c>
      <c r="H129" s="486">
        <f t="shared" si="20"/>
        <v>257308.45601442448</v>
      </c>
      <c r="I129" s="542">
        <f t="shared" si="21"/>
        <v>257308.45601442448</v>
      </c>
      <c r="J129" s="478">
        <f t="shared" si="15"/>
        <v>0</v>
      </c>
      <c r="K129" s="478"/>
      <c r="L129" s="487"/>
      <c r="M129" s="478">
        <f t="shared" si="22"/>
        <v>0</v>
      </c>
      <c r="N129" s="487"/>
      <c r="O129" s="478">
        <f t="shared" si="13"/>
        <v>0</v>
      </c>
      <c r="P129" s="478">
        <f t="shared" si="14"/>
        <v>0</v>
      </c>
    </row>
    <row r="130" spans="2:16">
      <c r="B130" s="160" t="str">
        <f t="shared" si="16"/>
        <v/>
      </c>
      <c r="C130" s="472">
        <f>IF(D93="","-",+C129+1)</f>
        <v>2050</v>
      </c>
      <c r="D130" s="347">
        <f>IF(F129+SUM(E$99:E129)=D$92,F129,D$92-SUM(E$99:E129))</f>
        <v>1093236.75</v>
      </c>
      <c r="E130" s="484">
        <f t="shared" si="17"/>
        <v>129707</v>
      </c>
      <c r="F130" s="485">
        <f t="shared" si="18"/>
        <v>963529.75</v>
      </c>
      <c r="G130" s="485">
        <f t="shared" si="19"/>
        <v>1028383.25</v>
      </c>
      <c r="H130" s="486">
        <f t="shared" si="20"/>
        <v>243016.99465788255</v>
      </c>
      <c r="I130" s="542">
        <f t="shared" si="21"/>
        <v>243016.99465788255</v>
      </c>
      <c r="J130" s="478">
        <f t="shared" si="15"/>
        <v>0</v>
      </c>
      <c r="K130" s="478"/>
      <c r="L130" s="487"/>
      <c r="M130" s="478">
        <f t="shared" si="22"/>
        <v>0</v>
      </c>
      <c r="N130" s="487"/>
      <c r="O130" s="478">
        <f t="shared" si="13"/>
        <v>0</v>
      </c>
      <c r="P130" s="478">
        <f t="shared" si="14"/>
        <v>0</v>
      </c>
    </row>
    <row r="131" spans="2:16">
      <c r="B131" s="160" t="str">
        <f t="shared" si="16"/>
        <v/>
      </c>
      <c r="C131" s="472">
        <f>IF(D93="","-",+C130+1)</f>
        <v>2051</v>
      </c>
      <c r="D131" s="347">
        <f>IF(F130+SUM(E$99:E130)=D$92,F130,D$92-SUM(E$99:E130))</f>
        <v>963529.75</v>
      </c>
      <c r="E131" s="484">
        <f t="shared" si="17"/>
        <v>129707</v>
      </c>
      <c r="F131" s="485">
        <f t="shared" si="18"/>
        <v>833822.75</v>
      </c>
      <c r="G131" s="485">
        <f t="shared" si="19"/>
        <v>898676.25</v>
      </c>
      <c r="H131" s="486">
        <f t="shared" si="20"/>
        <v>228725.53330134065</v>
      </c>
      <c r="I131" s="542">
        <f t="shared" si="21"/>
        <v>228725.53330134065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>
      <c r="B132" s="160" t="str">
        <f t="shared" si="16"/>
        <v/>
      </c>
      <c r="C132" s="472">
        <f>IF(D93="","-",+C131+1)</f>
        <v>2052</v>
      </c>
      <c r="D132" s="347">
        <f>IF(F131+SUM(E$99:E131)=D$92,F131,D$92-SUM(E$99:E131))</f>
        <v>833822.75</v>
      </c>
      <c r="E132" s="484">
        <f t="shared" si="17"/>
        <v>129707</v>
      </c>
      <c r="F132" s="485">
        <f t="shared" si="18"/>
        <v>704115.75</v>
      </c>
      <c r="G132" s="485">
        <f t="shared" si="19"/>
        <v>768969.25</v>
      </c>
      <c r="H132" s="486">
        <f t="shared" si="20"/>
        <v>214434.07194479875</v>
      </c>
      <c r="I132" s="542">
        <f t="shared" si="21"/>
        <v>214434.07194479875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>
      <c r="B133" s="160" t="str">
        <f t="shared" si="16"/>
        <v/>
      </c>
      <c r="C133" s="472">
        <f>IF(D93="","-",+C132+1)</f>
        <v>2053</v>
      </c>
      <c r="D133" s="347">
        <f>IF(F132+SUM(E$99:E132)=D$92,F132,D$92-SUM(E$99:E132))</f>
        <v>704115.75</v>
      </c>
      <c r="E133" s="484">
        <f t="shared" si="17"/>
        <v>129707</v>
      </c>
      <c r="F133" s="485">
        <f t="shared" si="18"/>
        <v>574408.75</v>
      </c>
      <c r="G133" s="485">
        <f t="shared" si="19"/>
        <v>639262.25</v>
      </c>
      <c r="H133" s="486">
        <f t="shared" si="20"/>
        <v>200142.61058825685</v>
      </c>
      <c r="I133" s="542">
        <f t="shared" si="21"/>
        <v>200142.61058825685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>
      <c r="B134" s="160" t="str">
        <f t="shared" si="16"/>
        <v/>
      </c>
      <c r="C134" s="472">
        <f>IF(D93="","-",+C133+1)</f>
        <v>2054</v>
      </c>
      <c r="D134" s="347">
        <f>IF(F133+SUM(E$99:E133)=D$92,F133,D$92-SUM(E$99:E133))</f>
        <v>574408.75</v>
      </c>
      <c r="E134" s="484">
        <f t="shared" si="17"/>
        <v>129707</v>
      </c>
      <c r="F134" s="485">
        <f t="shared" si="18"/>
        <v>444701.75</v>
      </c>
      <c r="G134" s="485">
        <f t="shared" si="19"/>
        <v>509555.25</v>
      </c>
      <c r="H134" s="486">
        <f t="shared" si="20"/>
        <v>185851.14923171495</v>
      </c>
      <c r="I134" s="542">
        <f t="shared" si="21"/>
        <v>185851.14923171495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>
      <c r="B135" s="160" t="str">
        <f t="shared" si="16"/>
        <v/>
      </c>
      <c r="C135" s="472">
        <f>IF(D93="","-",+C134+1)</f>
        <v>2055</v>
      </c>
      <c r="D135" s="347">
        <f>IF(F134+SUM(E$99:E134)=D$92,F134,D$92-SUM(E$99:E134))</f>
        <v>444701.75</v>
      </c>
      <c r="E135" s="484">
        <f t="shared" si="17"/>
        <v>129707</v>
      </c>
      <c r="F135" s="485">
        <f t="shared" si="18"/>
        <v>314994.75</v>
      </c>
      <c r="G135" s="485">
        <f t="shared" si="19"/>
        <v>379848.25</v>
      </c>
      <c r="H135" s="486">
        <f t="shared" si="20"/>
        <v>171559.68787517305</v>
      </c>
      <c r="I135" s="542">
        <f t="shared" si="21"/>
        <v>171559.68787517305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>
      <c r="B136" s="160" t="str">
        <f t="shared" si="16"/>
        <v/>
      </c>
      <c r="C136" s="472">
        <f>IF(D93="","-",+C135+1)</f>
        <v>2056</v>
      </c>
      <c r="D136" s="347">
        <f>IF(F135+SUM(E$99:E135)=D$92,F135,D$92-SUM(E$99:E135))</f>
        <v>314994.75</v>
      </c>
      <c r="E136" s="484">
        <f t="shared" si="17"/>
        <v>129707</v>
      </c>
      <c r="F136" s="485">
        <f t="shared" si="18"/>
        <v>185287.75</v>
      </c>
      <c r="G136" s="485">
        <f t="shared" si="19"/>
        <v>250141.25</v>
      </c>
      <c r="H136" s="486">
        <f t="shared" si="20"/>
        <v>157268.22651863113</v>
      </c>
      <c r="I136" s="542">
        <f t="shared" si="21"/>
        <v>157268.22651863113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>
      <c r="B137" s="160" t="str">
        <f t="shared" si="16"/>
        <v/>
      </c>
      <c r="C137" s="472">
        <f>IF(D93="","-",+C136+1)</f>
        <v>2057</v>
      </c>
      <c r="D137" s="347">
        <f>IF(F136+SUM(E$99:E136)=D$92,F136,D$92-SUM(E$99:E136))</f>
        <v>185287.75</v>
      </c>
      <c r="E137" s="484">
        <f t="shared" si="17"/>
        <v>129707</v>
      </c>
      <c r="F137" s="485">
        <f t="shared" si="18"/>
        <v>55580.75</v>
      </c>
      <c r="G137" s="485">
        <f t="shared" si="19"/>
        <v>120434.25</v>
      </c>
      <c r="H137" s="486">
        <f t="shared" si="20"/>
        <v>142976.76516208923</v>
      </c>
      <c r="I137" s="542">
        <f t="shared" si="21"/>
        <v>142976.76516208923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>
      <c r="B138" s="160" t="str">
        <f t="shared" si="16"/>
        <v/>
      </c>
      <c r="C138" s="472">
        <f>IF(D93="","-",+C137+1)</f>
        <v>2058</v>
      </c>
      <c r="D138" s="347">
        <f>IF(F137+SUM(E$99:E137)=D$92,F137,D$92-SUM(E$99:E137))</f>
        <v>55580.75</v>
      </c>
      <c r="E138" s="484">
        <f t="shared" si="17"/>
        <v>55580.75</v>
      </c>
      <c r="F138" s="485">
        <f t="shared" si="18"/>
        <v>0</v>
      </c>
      <c r="G138" s="485">
        <f t="shared" si="19"/>
        <v>27790.375</v>
      </c>
      <c r="H138" s="486">
        <f t="shared" si="20"/>
        <v>58642.76724190914</v>
      </c>
      <c r="I138" s="542">
        <f t="shared" si="21"/>
        <v>58642.76724190914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>
      <c r="B139" s="160" t="str">
        <f t="shared" si="16"/>
        <v/>
      </c>
      <c r="C139" s="472">
        <f>IF(D93="","-",+C138+1)</f>
        <v>2059</v>
      </c>
      <c r="D139" s="347">
        <f>IF(F138+SUM(E$99:E138)=D$92,F138,D$92-SUM(E$99:E138))</f>
        <v>0</v>
      </c>
      <c r="E139" s="484">
        <f t="shared" si="17"/>
        <v>0</v>
      </c>
      <c r="F139" s="485">
        <f t="shared" si="18"/>
        <v>0</v>
      </c>
      <c r="G139" s="485">
        <f t="shared" si="19"/>
        <v>0</v>
      </c>
      <c r="H139" s="486">
        <f t="shared" si="20"/>
        <v>0</v>
      </c>
      <c r="I139" s="542">
        <f t="shared" si="21"/>
        <v>0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>
      <c r="B140" s="160" t="str">
        <f t="shared" si="16"/>
        <v/>
      </c>
      <c r="C140" s="472">
        <f>IF(D93="","-",+C139+1)</f>
        <v>2060</v>
      </c>
      <c r="D140" s="347">
        <f>IF(F139+SUM(E$99:E139)=D$92,F139,D$92-SUM(E$99:E139))</f>
        <v>0</v>
      </c>
      <c r="E140" s="484">
        <f t="shared" si="17"/>
        <v>0</v>
      </c>
      <c r="F140" s="485">
        <f t="shared" si="18"/>
        <v>0</v>
      </c>
      <c r="G140" s="485">
        <f t="shared" si="19"/>
        <v>0</v>
      </c>
      <c r="H140" s="486">
        <f t="shared" si="20"/>
        <v>0</v>
      </c>
      <c r="I140" s="542">
        <f t="shared" si="21"/>
        <v>0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>
      <c r="B141" s="160" t="str">
        <f t="shared" si="16"/>
        <v/>
      </c>
      <c r="C141" s="472">
        <f>IF(D93="","-",+C140+1)</f>
        <v>2061</v>
      </c>
      <c r="D141" s="347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486">
        <f t="shared" si="20"/>
        <v>0</v>
      </c>
      <c r="I141" s="542">
        <f t="shared" si="21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>
      <c r="B142" s="160" t="str">
        <f t="shared" si="16"/>
        <v/>
      </c>
      <c r="C142" s="472">
        <f>IF(D93="","-",+C141+1)</f>
        <v>2062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>
      <c r="B143" s="160" t="str">
        <f t="shared" si="16"/>
        <v/>
      </c>
      <c r="C143" s="472">
        <f>IF(D93="","-",+C142+1)</f>
        <v>2063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>
      <c r="B144" s="160" t="str">
        <f t="shared" si="16"/>
        <v/>
      </c>
      <c r="C144" s="472">
        <f>IF(D93="","-",+C143+1)</f>
        <v>2064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>
      <c r="B145" s="160" t="str">
        <f t="shared" si="16"/>
        <v/>
      </c>
      <c r="C145" s="472">
        <f>IF(D93="","-",+C144+1)</f>
        <v>2065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>
      <c r="B146" s="160" t="str">
        <f t="shared" si="16"/>
        <v/>
      </c>
      <c r="C146" s="472">
        <f>IF(D93="","-",+C145+1)</f>
        <v>2066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>
      <c r="B147" s="160" t="str">
        <f t="shared" si="16"/>
        <v/>
      </c>
      <c r="C147" s="472">
        <f>IF(D93="","-",+C146+1)</f>
        <v>2067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>
      <c r="B148" s="160" t="str">
        <f t="shared" si="16"/>
        <v/>
      </c>
      <c r="C148" s="472">
        <f>IF(D93="","-",+C147+1)</f>
        <v>2068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>
      <c r="B149" s="160" t="str">
        <f t="shared" si="16"/>
        <v/>
      </c>
      <c r="C149" s="472">
        <f>IF(D93="","-",+C148+1)</f>
        <v>2069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>
      <c r="B150" s="160" t="str">
        <f t="shared" si="16"/>
        <v/>
      </c>
      <c r="C150" s="472">
        <f>IF(D93="","-",+C149+1)</f>
        <v>2070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>
      <c r="B151" s="160" t="str">
        <f t="shared" si="16"/>
        <v/>
      </c>
      <c r="C151" s="472">
        <f>IF(D93="","-",+C150+1)</f>
        <v>2071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>
      <c r="B152" s="160" t="str">
        <f t="shared" si="16"/>
        <v/>
      </c>
      <c r="C152" s="472">
        <f>IF(D93="","-",+C151+1)</f>
        <v>2072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>
      <c r="B153" s="160" t="str">
        <f t="shared" si="16"/>
        <v/>
      </c>
      <c r="C153" s="472">
        <f>IF(D93="","-",+C152+1)</f>
        <v>2073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.5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7">+J$94*G154+E154</f>
        <v>0</v>
      </c>
      <c r="I154" s="614">
        <f t="shared" ref="I154" si="28">+J$95*G154+E154</f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>
      <c r="C155" s="347" t="s">
        <v>77</v>
      </c>
      <c r="D155" s="348"/>
      <c r="E155" s="348">
        <f>SUM(E99:E154)</f>
        <v>5058589</v>
      </c>
      <c r="F155" s="348"/>
      <c r="G155" s="348"/>
      <c r="H155" s="348">
        <f>SUM(H99:H154)</f>
        <v>15909499.824121296</v>
      </c>
      <c r="I155" s="348">
        <f>SUM(I99:I154)</f>
        <v>15909499.824121296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2"/>
  <sheetViews>
    <sheetView zoomScale="86" zoomScaleNormal="86" workbookViewId="0">
      <selection activeCell="D92" sqref="D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28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322643.1060760754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322643.1060760754</v>
      </c>
      <c r="O6" s="233"/>
      <c r="P6" s="233"/>
    </row>
    <row r="7" spans="1:16" ht="13.5" thickBot="1">
      <c r="C7" s="431" t="s">
        <v>46</v>
      </c>
      <c r="D7" s="619" t="s">
        <v>333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337</v>
      </c>
      <c r="E9" s="620" t="s">
        <v>338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2394794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2020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57018.904761904763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2020</v>
      </c>
      <c r="D17" s="621">
        <v>0</v>
      </c>
      <c r="E17" s="622">
        <v>19964.285714285714</v>
      </c>
      <c r="F17" s="623">
        <v>1657035.7142857143</v>
      </c>
      <c r="G17" s="622">
        <v>109448.17204091245</v>
      </c>
      <c r="H17" s="624">
        <v>109448.17204091245</v>
      </c>
      <c r="I17" s="475">
        <f>H17-G17</f>
        <v>0</v>
      </c>
      <c r="J17" s="475"/>
      <c r="K17" s="554">
        <f>+G17</f>
        <v>109448.17204091245</v>
      </c>
      <c r="L17" s="477">
        <f t="shared" ref="L17:L18" si="0">IF(K17&lt;&gt;0,+G17-K17,0)</f>
        <v>0</v>
      </c>
      <c r="M17" s="554">
        <f>+H17</f>
        <v>109448.17204091245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2021</v>
      </c>
      <c r="D18" s="473">
        <v>2325985.7142857141</v>
      </c>
      <c r="E18" s="480">
        <v>54556.976744186046</v>
      </c>
      <c r="F18" s="473">
        <v>2271428.737541528</v>
      </c>
      <c r="G18" s="480">
        <v>302407.38707255269</v>
      </c>
      <c r="H18" s="481">
        <v>302407.38707255269</v>
      </c>
      <c r="I18" s="475">
        <f>H18-G18</f>
        <v>0</v>
      </c>
      <c r="J18" s="475"/>
      <c r="K18" s="629">
        <f>+G18</f>
        <v>302407.38707255269</v>
      </c>
      <c r="L18" s="629">
        <f t="shared" si="0"/>
        <v>0</v>
      </c>
      <c r="M18" s="629">
        <f>+H18</f>
        <v>302407.38707255269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2022</v>
      </c>
      <c r="D19" s="473">
        <v>2462567.7375415284</v>
      </c>
      <c r="E19" s="480">
        <v>60406.880952380954</v>
      </c>
      <c r="F19" s="473">
        <v>2402160.8565891474</v>
      </c>
      <c r="G19" s="480">
        <v>322643.1060760754</v>
      </c>
      <c r="H19" s="481">
        <v>322643.1060760754</v>
      </c>
      <c r="I19" s="475">
        <f t="shared" ref="I19:I71" si="3">H19-G19</f>
        <v>0</v>
      </c>
      <c r="J19" s="475"/>
      <c r="K19" s="629">
        <f>+G19</f>
        <v>322643.1060760754</v>
      </c>
      <c r="L19" s="629">
        <f t="shared" ref="L19" si="4">IF(K19&lt;&gt;0,+G19-K19,0)</f>
        <v>0</v>
      </c>
      <c r="M19" s="629">
        <f>+H19</f>
        <v>322643.1060760754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2023</v>
      </c>
      <c r="D20" s="483">
        <f>IF(F19+SUM(E$17:E19)=D$10,F19,D$10-SUM(E$17:E19))</f>
        <v>2259865.8565891474</v>
      </c>
      <c r="E20" s="484">
        <f t="shared" ref="E20:E71" si="6">IF(+I$14&lt;F19,I$14,D20)</f>
        <v>57018.904761904763</v>
      </c>
      <c r="F20" s="485">
        <f t="shared" ref="F20:F71" si="7">+D20-E20</f>
        <v>2202846.9518272425</v>
      </c>
      <c r="G20" s="486">
        <f t="shared" ref="G20:G71" si="8">(D20+F20)/2*I$12+E20</f>
        <v>297584.21853958</v>
      </c>
      <c r="H20" s="455">
        <f t="shared" ref="H20:H71" si="9">+(D20+F20)/2*I$13+E20</f>
        <v>297584.21853958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2024</v>
      </c>
      <c r="D21" s="483">
        <f>IF(F20+SUM(E$17:E20)=D$10,F20,D$10-SUM(E$17:E20))</f>
        <v>2202846.9518272425</v>
      </c>
      <c r="E21" s="484">
        <f t="shared" si="6"/>
        <v>57018.904761904763</v>
      </c>
      <c r="F21" s="485">
        <f t="shared" si="7"/>
        <v>2145828.0470653377</v>
      </c>
      <c r="G21" s="486">
        <f t="shared" si="8"/>
        <v>291436.93938263401</v>
      </c>
      <c r="H21" s="455">
        <f t="shared" si="9"/>
        <v>291436.93938263401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2025</v>
      </c>
      <c r="D22" s="483">
        <f>IF(F21+SUM(E$17:E21)=D$10,F21,D$10-SUM(E$17:E21))</f>
        <v>2145828.0470653377</v>
      </c>
      <c r="E22" s="484">
        <f t="shared" si="6"/>
        <v>57018.904761904763</v>
      </c>
      <c r="F22" s="485">
        <f t="shared" si="7"/>
        <v>2088809.1423034328</v>
      </c>
      <c r="G22" s="486">
        <f t="shared" si="8"/>
        <v>285289.66022568801</v>
      </c>
      <c r="H22" s="455">
        <f t="shared" si="9"/>
        <v>285289.66022568801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2026</v>
      </c>
      <c r="D23" s="483">
        <f>IF(F22+SUM(E$17:E22)=D$10,F22,D$10-SUM(E$17:E22))</f>
        <v>2088809.1423034328</v>
      </c>
      <c r="E23" s="484">
        <f t="shared" si="6"/>
        <v>57018.904761904763</v>
      </c>
      <c r="F23" s="485">
        <f t="shared" si="7"/>
        <v>2031790.237541528</v>
      </c>
      <c r="G23" s="486">
        <f t="shared" si="8"/>
        <v>279142.38106874202</v>
      </c>
      <c r="H23" s="455">
        <f t="shared" si="9"/>
        <v>279142.38106874202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2027</v>
      </c>
      <c r="D24" s="483">
        <f>IF(F23+SUM(E$17:E23)=D$10,F23,D$10-SUM(E$17:E23))</f>
        <v>2031790.237541528</v>
      </c>
      <c r="E24" s="484">
        <f t="shared" si="6"/>
        <v>57018.904761904763</v>
      </c>
      <c r="F24" s="485">
        <f t="shared" si="7"/>
        <v>1974771.3327796231</v>
      </c>
      <c r="G24" s="486">
        <f t="shared" si="8"/>
        <v>272995.10191179602</v>
      </c>
      <c r="H24" s="455">
        <f t="shared" si="9"/>
        <v>272995.10191179602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2028</v>
      </c>
      <c r="D25" s="483">
        <f>IF(F24+SUM(E$17:E24)=D$10,F24,D$10-SUM(E$17:E24))</f>
        <v>1974771.3327796231</v>
      </c>
      <c r="E25" s="484">
        <f t="shared" si="6"/>
        <v>57018.904761904763</v>
      </c>
      <c r="F25" s="485">
        <f t="shared" si="7"/>
        <v>1917752.4280177183</v>
      </c>
      <c r="G25" s="486">
        <f t="shared" si="8"/>
        <v>266847.82275485003</v>
      </c>
      <c r="H25" s="455">
        <f t="shared" si="9"/>
        <v>266847.82275485003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2029</v>
      </c>
      <c r="D26" s="483">
        <f>IF(F25+SUM(E$17:E25)=D$10,F25,D$10-SUM(E$17:E25))</f>
        <v>1917752.4280177183</v>
      </c>
      <c r="E26" s="484">
        <f t="shared" si="6"/>
        <v>57018.904761904763</v>
      </c>
      <c r="F26" s="485">
        <f t="shared" si="7"/>
        <v>1860733.5232558134</v>
      </c>
      <c r="G26" s="486">
        <f t="shared" si="8"/>
        <v>260700.54359790398</v>
      </c>
      <c r="H26" s="455">
        <f t="shared" si="9"/>
        <v>260700.54359790398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2030</v>
      </c>
      <c r="D27" s="483">
        <f>IF(F26+SUM(E$17:E26)=D$10,F26,D$10-SUM(E$17:E26))</f>
        <v>1860733.5232558134</v>
      </c>
      <c r="E27" s="484">
        <f t="shared" si="6"/>
        <v>57018.904761904763</v>
      </c>
      <c r="F27" s="485">
        <f t="shared" si="7"/>
        <v>1803714.6184939086</v>
      </c>
      <c r="G27" s="486">
        <f t="shared" si="8"/>
        <v>254553.26444095798</v>
      </c>
      <c r="H27" s="455">
        <f t="shared" si="9"/>
        <v>254553.26444095798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2031</v>
      </c>
      <c r="D28" s="483">
        <f>IF(F27+SUM(E$17:E27)=D$10,F27,D$10-SUM(E$17:E27))</f>
        <v>1803714.6184939086</v>
      </c>
      <c r="E28" s="484">
        <f t="shared" si="6"/>
        <v>57018.904761904763</v>
      </c>
      <c r="F28" s="485">
        <f t="shared" si="7"/>
        <v>1746695.7137320037</v>
      </c>
      <c r="G28" s="486">
        <f t="shared" si="8"/>
        <v>248405.98528401199</v>
      </c>
      <c r="H28" s="455">
        <f t="shared" si="9"/>
        <v>248405.98528401199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2032</v>
      </c>
      <c r="D29" s="483">
        <f>IF(F28+SUM(E$17:E28)=D$10,F28,D$10-SUM(E$17:E28))</f>
        <v>1746695.7137320037</v>
      </c>
      <c r="E29" s="484">
        <f t="shared" si="6"/>
        <v>57018.904761904763</v>
      </c>
      <c r="F29" s="485">
        <f t="shared" si="7"/>
        <v>1689676.8089700988</v>
      </c>
      <c r="G29" s="486">
        <f t="shared" si="8"/>
        <v>242258.70612706596</v>
      </c>
      <c r="H29" s="455">
        <f t="shared" si="9"/>
        <v>242258.70612706596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2033</v>
      </c>
      <c r="D30" s="483">
        <f>IF(F29+SUM(E$17:E29)=D$10,F29,D$10-SUM(E$17:E29))</f>
        <v>1689676.8089700988</v>
      </c>
      <c r="E30" s="484">
        <f t="shared" si="6"/>
        <v>57018.904761904763</v>
      </c>
      <c r="F30" s="485">
        <f t="shared" si="7"/>
        <v>1632657.904208194</v>
      </c>
      <c r="G30" s="486">
        <f t="shared" si="8"/>
        <v>236111.42697011997</v>
      </c>
      <c r="H30" s="455">
        <f t="shared" si="9"/>
        <v>236111.42697011997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2034</v>
      </c>
      <c r="D31" s="483">
        <f>IF(F30+SUM(E$17:E30)=D$10,F30,D$10-SUM(E$17:E30))</f>
        <v>1632657.904208194</v>
      </c>
      <c r="E31" s="484">
        <f t="shared" si="6"/>
        <v>57018.904761904763</v>
      </c>
      <c r="F31" s="485">
        <f t="shared" si="7"/>
        <v>1575638.9994462891</v>
      </c>
      <c r="G31" s="486">
        <f t="shared" si="8"/>
        <v>229964.14781317397</v>
      </c>
      <c r="H31" s="455">
        <f t="shared" si="9"/>
        <v>229964.14781317397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2035</v>
      </c>
      <c r="D32" s="483">
        <f>IF(F31+SUM(E$17:E31)=D$10,F31,D$10-SUM(E$17:E31))</f>
        <v>1575638.9994462891</v>
      </c>
      <c r="E32" s="484">
        <f t="shared" si="6"/>
        <v>57018.904761904763</v>
      </c>
      <c r="F32" s="485">
        <f t="shared" si="7"/>
        <v>1518620.0946843843</v>
      </c>
      <c r="G32" s="486">
        <f t="shared" si="8"/>
        <v>223816.86865622795</v>
      </c>
      <c r="H32" s="455">
        <f t="shared" si="9"/>
        <v>223816.86865622795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2036</v>
      </c>
      <c r="D33" s="483">
        <f>IF(F32+SUM(E$17:E32)=D$10,F32,D$10-SUM(E$17:E32))</f>
        <v>1518620.0946843843</v>
      </c>
      <c r="E33" s="484">
        <f t="shared" si="6"/>
        <v>57018.904761904763</v>
      </c>
      <c r="F33" s="485">
        <f t="shared" si="7"/>
        <v>1461601.1899224794</v>
      </c>
      <c r="G33" s="486">
        <f t="shared" si="8"/>
        <v>217669.58949928195</v>
      </c>
      <c r="H33" s="455">
        <f t="shared" si="9"/>
        <v>217669.58949928195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2037</v>
      </c>
      <c r="D34" s="483">
        <f>IF(F33+SUM(E$17:E33)=D$10,F33,D$10-SUM(E$17:E33))</f>
        <v>1461601.1899224794</v>
      </c>
      <c r="E34" s="484">
        <f t="shared" si="6"/>
        <v>57018.904761904763</v>
      </c>
      <c r="F34" s="485">
        <f t="shared" si="7"/>
        <v>1404582.2851605746</v>
      </c>
      <c r="G34" s="486">
        <f t="shared" si="8"/>
        <v>211522.31034233596</v>
      </c>
      <c r="H34" s="455">
        <f t="shared" si="9"/>
        <v>211522.31034233596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2038</v>
      </c>
      <c r="D35" s="483">
        <f>IF(F34+SUM(E$17:E34)=D$10,F34,D$10-SUM(E$17:E34))</f>
        <v>1404582.2851605746</v>
      </c>
      <c r="E35" s="484">
        <f t="shared" si="6"/>
        <v>57018.904761904763</v>
      </c>
      <c r="F35" s="485">
        <f t="shared" si="7"/>
        <v>1347563.3803986697</v>
      </c>
      <c r="G35" s="486">
        <f t="shared" si="8"/>
        <v>205375.03118538993</v>
      </c>
      <c r="H35" s="455">
        <f t="shared" si="9"/>
        <v>205375.03118538993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2039</v>
      </c>
      <c r="D36" s="483">
        <f>IF(F35+SUM(E$17:E35)=D$10,F35,D$10-SUM(E$17:E35))</f>
        <v>1347563.3803986697</v>
      </c>
      <c r="E36" s="484">
        <f t="shared" si="6"/>
        <v>57018.904761904763</v>
      </c>
      <c r="F36" s="485">
        <f t="shared" si="7"/>
        <v>1290544.4756367649</v>
      </c>
      <c r="G36" s="486">
        <f t="shared" si="8"/>
        <v>199227.75202844394</v>
      </c>
      <c r="H36" s="455">
        <f t="shared" si="9"/>
        <v>199227.75202844394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2040</v>
      </c>
      <c r="D37" s="483">
        <f>IF(F36+SUM(E$17:E36)=D$10,F36,D$10-SUM(E$17:E36))</f>
        <v>1290544.4756367649</v>
      </c>
      <c r="E37" s="484">
        <f t="shared" si="6"/>
        <v>57018.904761904763</v>
      </c>
      <c r="F37" s="485">
        <f t="shared" si="7"/>
        <v>1233525.57087486</v>
      </c>
      <c r="G37" s="486">
        <f t="shared" si="8"/>
        <v>193080.47287149794</v>
      </c>
      <c r="H37" s="455">
        <f t="shared" si="9"/>
        <v>193080.47287149794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2041</v>
      </c>
      <c r="D38" s="483">
        <f>IF(F37+SUM(E$17:E37)=D$10,F37,D$10-SUM(E$17:E37))</f>
        <v>1233525.57087486</v>
      </c>
      <c r="E38" s="484">
        <f t="shared" si="6"/>
        <v>57018.904761904763</v>
      </c>
      <c r="F38" s="485">
        <f t="shared" si="7"/>
        <v>1176506.6661129552</v>
      </c>
      <c r="G38" s="486">
        <f t="shared" si="8"/>
        <v>186933.19371455192</v>
      </c>
      <c r="H38" s="455">
        <f t="shared" si="9"/>
        <v>186933.19371455192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2042</v>
      </c>
      <c r="D39" s="483">
        <f>IF(F38+SUM(E$17:E38)=D$10,F38,D$10-SUM(E$17:E38))</f>
        <v>1176506.6661129552</v>
      </c>
      <c r="E39" s="484">
        <f t="shared" si="6"/>
        <v>57018.904761904763</v>
      </c>
      <c r="F39" s="485">
        <f t="shared" si="7"/>
        <v>1119487.7613510503</v>
      </c>
      <c r="G39" s="486">
        <f t="shared" si="8"/>
        <v>180785.91455760592</v>
      </c>
      <c r="H39" s="455">
        <f t="shared" si="9"/>
        <v>180785.91455760592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2043</v>
      </c>
      <c r="D40" s="483">
        <f>IF(F39+SUM(E$17:E39)=D$10,F39,D$10-SUM(E$17:E39))</f>
        <v>1119487.7613510503</v>
      </c>
      <c r="E40" s="484">
        <f t="shared" si="6"/>
        <v>57018.904761904763</v>
      </c>
      <c r="F40" s="485">
        <f t="shared" si="7"/>
        <v>1062468.8565891455</v>
      </c>
      <c r="G40" s="486">
        <f t="shared" si="8"/>
        <v>174638.63540065993</v>
      </c>
      <c r="H40" s="455">
        <f t="shared" si="9"/>
        <v>174638.63540065993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2044</v>
      </c>
      <c r="D41" s="483">
        <f>IF(F40+SUM(E$17:E40)=D$10,F40,D$10-SUM(E$17:E40))</f>
        <v>1062468.8565891455</v>
      </c>
      <c r="E41" s="484">
        <f t="shared" si="6"/>
        <v>57018.904761904763</v>
      </c>
      <c r="F41" s="485">
        <f t="shared" si="7"/>
        <v>1005449.9518272408</v>
      </c>
      <c r="G41" s="486">
        <f t="shared" si="8"/>
        <v>168491.3562437139</v>
      </c>
      <c r="H41" s="455">
        <f t="shared" si="9"/>
        <v>168491.3562437139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2045</v>
      </c>
      <c r="D42" s="483">
        <f>IF(F41+SUM(E$17:E41)=D$10,F41,D$10-SUM(E$17:E41))</f>
        <v>1005449.9518272408</v>
      </c>
      <c r="E42" s="484">
        <f t="shared" si="6"/>
        <v>57018.904761904763</v>
      </c>
      <c r="F42" s="485">
        <f t="shared" si="7"/>
        <v>948431.04706533602</v>
      </c>
      <c r="G42" s="486">
        <f t="shared" si="8"/>
        <v>162344.07708676794</v>
      </c>
      <c r="H42" s="455">
        <f t="shared" si="9"/>
        <v>162344.07708676794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2046</v>
      </c>
      <c r="D43" s="483">
        <f>IF(F42+SUM(E$17:E42)=D$10,F42,D$10-SUM(E$17:E42))</f>
        <v>948431.04706533602</v>
      </c>
      <c r="E43" s="484">
        <f t="shared" si="6"/>
        <v>57018.904761904763</v>
      </c>
      <c r="F43" s="485">
        <f t="shared" si="7"/>
        <v>891412.14230343129</v>
      </c>
      <c r="G43" s="486">
        <f t="shared" si="8"/>
        <v>156196.79792982194</v>
      </c>
      <c r="H43" s="455">
        <f t="shared" si="9"/>
        <v>156196.79792982194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2047</v>
      </c>
      <c r="D44" s="483">
        <f>IF(F43+SUM(E$17:E43)=D$10,F43,D$10-SUM(E$17:E43))</f>
        <v>891412.14230343129</v>
      </c>
      <c r="E44" s="484">
        <f t="shared" si="6"/>
        <v>57018.904761904763</v>
      </c>
      <c r="F44" s="485">
        <f t="shared" si="7"/>
        <v>834393.23754152656</v>
      </c>
      <c r="G44" s="486">
        <f t="shared" si="8"/>
        <v>150049.51877287595</v>
      </c>
      <c r="H44" s="455">
        <f t="shared" si="9"/>
        <v>150049.51877287595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2048</v>
      </c>
      <c r="D45" s="483">
        <f>IF(F44+SUM(E$17:E44)=D$10,F44,D$10-SUM(E$17:E44))</f>
        <v>834393.23754152656</v>
      </c>
      <c r="E45" s="484">
        <f t="shared" si="6"/>
        <v>57018.904761904763</v>
      </c>
      <c r="F45" s="485">
        <f t="shared" si="7"/>
        <v>777374.33277962182</v>
      </c>
      <c r="G45" s="486">
        <f t="shared" si="8"/>
        <v>143902.23961592995</v>
      </c>
      <c r="H45" s="455">
        <f t="shared" si="9"/>
        <v>143902.23961592995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2049</v>
      </c>
      <c r="D46" s="483">
        <f>IF(F45+SUM(E$17:E45)=D$10,F45,D$10-SUM(E$17:E45))</f>
        <v>777374.33277962182</v>
      </c>
      <c r="E46" s="484">
        <f t="shared" si="6"/>
        <v>57018.904761904763</v>
      </c>
      <c r="F46" s="485">
        <f t="shared" si="7"/>
        <v>720355.42801771709</v>
      </c>
      <c r="G46" s="486">
        <f t="shared" si="8"/>
        <v>137754.96045898396</v>
      </c>
      <c r="H46" s="455">
        <f t="shared" si="9"/>
        <v>137754.96045898396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2050</v>
      </c>
      <c r="D47" s="483">
        <f>IF(F46+SUM(E$17:E46)=D$10,F46,D$10-SUM(E$17:E46))</f>
        <v>720355.42801771709</v>
      </c>
      <c r="E47" s="484">
        <f t="shared" si="6"/>
        <v>57018.904761904763</v>
      </c>
      <c r="F47" s="485">
        <f t="shared" si="7"/>
        <v>663336.52325581235</v>
      </c>
      <c r="G47" s="486">
        <f t="shared" si="8"/>
        <v>131607.68130203796</v>
      </c>
      <c r="H47" s="455">
        <f t="shared" si="9"/>
        <v>131607.68130203796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2051</v>
      </c>
      <c r="D48" s="483">
        <f>IF(F47+SUM(E$17:E47)=D$10,F47,D$10-SUM(E$17:E47))</f>
        <v>663336.52325581235</v>
      </c>
      <c r="E48" s="484">
        <f t="shared" si="6"/>
        <v>57018.904761904763</v>
      </c>
      <c r="F48" s="485">
        <f t="shared" si="7"/>
        <v>606317.61849390762</v>
      </c>
      <c r="G48" s="486">
        <f t="shared" si="8"/>
        <v>125460.40214509197</v>
      </c>
      <c r="H48" s="455">
        <f t="shared" si="9"/>
        <v>125460.40214509197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2052</v>
      </c>
      <c r="D49" s="483">
        <f>IF(F48+SUM(E$17:E48)=D$10,F48,D$10-SUM(E$17:E48))</f>
        <v>606317.61849390762</v>
      </c>
      <c r="E49" s="484">
        <f t="shared" si="6"/>
        <v>57018.904761904763</v>
      </c>
      <c r="F49" s="485">
        <f t="shared" si="7"/>
        <v>549298.71373200289</v>
      </c>
      <c r="G49" s="486">
        <f t="shared" si="8"/>
        <v>119313.12298814597</v>
      </c>
      <c r="H49" s="455">
        <f t="shared" si="9"/>
        <v>119313.12298814597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2053</v>
      </c>
      <c r="D50" s="483">
        <f>IF(F49+SUM(E$17:E49)=D$10,F49,D$10-SUM(E$17:E49))</f>
        <v>549298.71373200289</v>
      </c>
      <c r="E50" s="484">
        <f t="shared" si="6"/>
        <v>57018.904761904763</v>
      </c>
      <c r="F50" s="485">
        <f t="shared" si="7"/>
        <v>492279.80897009815</v>
      </c>
      <c r="G50" s="486">
        <f t="shared" si="8"/>
        <v>113165.84383119998</v>
      </c>
      <c r="H50" s="455">
        <f t="shared" si="9"/>
        <v>113165.84383119998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2054</v>
      </c>
      <c r="D51" s="483">
        <f>IF(F50+SUM(E$17:E50)=D$10,F50,D$10-SUM(E$17:E50))</f>
        <v>492279.80897009815</v>
      </c>
      <c r="E51" s="484">
        <f t="shared" si="6"/>
        <v>57018.904761904763</v>
      </c>
      <c r="F51" s="485">
        <f t="shared" si="7"/>
        <v>435260.90420819342</v>
      </c>
      <c r="G51" s="486">
        <f t="shared" si="8"/>
        <v>107018.56467425398</v>
      </c>
      <c r="H51" s="455">
        <f t="shared" si="9"/>
        <v>107018.56467425398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2055</v>
      </c>
      <c r="D52" s="483">
        <f>IF(F51+SUM(E$17:E51)=D$10,F51,D$10-SUM(E$17:E51))</f>
        <v>435260.90420819342</v>
      </c>
      <c r="E52" s="484">
        <f t="shared" si="6"/>
        <v>57018.904761904763</v>
      </c>
      <c r="F52" s="485">
        <f t="shared" si="7"/>
        <v>378241.99944628868</v>
      </c>
      <c r="G52" s="486">
        <f t="shared" si="8"/>
        <v>100871.28551730799</v>
      </c>
      <c r="H52" s="455">
        <f t="shared" si="9"/>
        <v>100871.28551730799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2056</v>
      </c>
      <c r="D53" s="483">
        <f>IF(F52+SUM(E$17:E52)=D$10,F52,D$10-SUM(E$17:E52))</f>
        <v>378241.99944628868</v>
      </c>
      <c r="E53" s="484">
        <f t="shared" si="6"/>
        <v>57018.904761904763</v>
      </c>
      <c r="F53" s="485">
        <f t="shared" si="7"/>
        <v>321223.09468438395</v>
      </c>
      <c r="G53" s="486">
        <f t="shared" si="8"/>
        <v>94724.006360361993</v>
      </c>
      <c r="H53" s="455">
        <f t="shared" si="9"/>
        <v>94724.006360361993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2057</v>
      </c>
      <c r="D54" s="483">
        <f>IF(F53+SUM(E$17:E53)=D$10,F53,D$10-SUM(E$17:E53))</f>
        <v>321223.09468438395</v>
      </c>
      <c r="E54" s="484">
        <f t="shared" si="6"/>
        <v>57018.904761904763</v>
      </c>
      <c r="F54" s="485">
        <f t="shared" si="7"/>
        <v>264204.18992247921</v>
      </c>
      <c r="G54" s="486">
        <f t="shared" si="8"/>
        <v>88576.727203416012</v>
      </c>
      <c r="H54" s="455">
        <f t="shared" si="9"/>
        <v>88576.727203416012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2058</v>
      </c>
      <c r="D55" s="483">
        <f>IF(F54+SUM(E$17:E54)=D$10,F54,D$10-SUM(E$17:E54))</f>
        <v>264204.18992247921</v>
      </c>
      <c r="E55" s="484">
        <f t="shared" si="6"/>
        <v>57018.904761904763</v>
      </c>
      <c r="F55" s="485">
        <f t="shared" si="7"/>
        <v>207185.28516057445</v>
      </c>
      <c r="G55" s="486">
        <f t="shared" si="8"/>
        <v>82429.448046470017</v>
      </c>
      <c r="H55" s="455">
        <f t="shared" si="9"/>
        <v>82429.448046470017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2059</v>
      </c>
      <c r="D56" s="483">
        <f>IF(F55+SUM(E$17:E55)=D$10,F55,D$10-SUM(E$17:E55))</f>
        <v>207185.28516057445</v>
      </c>
      <c r="E56" s="484">
        <f t="shared" si="6"/>
        <v>57018.904761904763</v>
      </c>
      <c r="F56" s="485">
        <f t="shared" si="7"/>
        <v>150166.38039866969</v>
      </c>
      <c r="G56" s="486">
        <f t="shared" si="8"/>
        <v>76282.168889524022</v>
      </c>
      <c r="H56" s="455">
        <f t="shared" si="9"/>
        <v>76282.168889524022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2060</v>
      </c>
      <c r="D57" s="483">
        <f>IF(F56+SUM(E$17:E56)=D$10,F56,D$10-SUM(E$17:E56))</f>
        <v>150166.38039866969</v>
      </c>
      <c r="E57" s="484">
        <f t="shared" si="6"/>
        <v>57018.904761904763</v>
      </c>
      <c r="F57" s="485">
        <f t="shared" si="7"/>
        <v>93147.475636764924</v>
      </c>
      <c r="G57" s="486">
        <f t="shared" si="8"/>
        <v>70134.889732578027</v>
      </c>
      <c r="H57" s="455">
        <f t="shared" si="9"/>
        <v>70134.889732578027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2061</v>
      </c>
      <c r="D58" s="483">
        <f>IF(F57+SUM(E$17:E57)=D$10,F57,D$10-SUM(E$17:E57))</f>
        <v>93147.475636764924</v>
      </c>
      <c r="E58" s="484">
        <f t="shared" si="6"/>
        <v>57018.904761904763</v>
      </c>
      <c r="F58" s="485">
        <f t="shared" si="7"/>
        <v>36128.570874860161</v>
      </c>
      <c r="G58" s="486">
        <f t="shared" si="8"/>
        <v>63987.610575632032</v>
      </c>
      <c r="H58" s="455">
        <f t="shared" si="9"/>
        <v>63987.610575632032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2062</v>
      </c>
      <c r="D59" s="483">
        <f>IF(F58+SUM(E$17:E58)=D$10,F58,D$10-SUM(E$17:E58))</f>
        <v>36128.570874860161</v>
      </c>
      <c r="E59" s="484">
        <f t="shared" si="6"/>
        <v>36128.570874860161</v>
      </c>
      <c r="F59" s="485">
        <f t="shared" si="7"/>
        <v>0</v>
      </c>
      <c r="G59" s="486">
        <f t="shared" si="8"/>
        <v>38076.103992487297</v>
      </c>
      <c r="H59" s="455">
        <f t="shared" si="9"/>
        <v>38076.103992487297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2063</v>
      </c>
      <c r="D60" s="483">
        <f>IF(F59+SUM(E$17:E59)=D$10,F59,D$10-SUM(E$17:E59))</f>
        <v>0</v>
      </c>
      <c r="E60" s="484">
        <f t="shared" si="6"/>
        <v>0</v>
      </c>
      <c r="F60" s="485">
        <f t="shared" si="7"/>
        <v>0</v>
      </c>
      <c r="G60" s="486">
        <f t="shared" si="8"/>
        <v>0</v>
      </c>
      <c r="H60" s="455">
        <f t="shared" si="9"/>
        <v>0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2064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2065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2066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2067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2068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2069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2070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2071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2072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2073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2074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2075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2394794</v>
      </c>
      <c r="F73" s="348"/>
      <c r="G73" s="348">
        <f>SUM(G17:G72)</f>
        <v>7823225.4369286606</v>
      </c>
      <c r="H73" s="348">
        <f>SUM(H17:H72)</f>
        <v>7823225.4369286606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28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322643.1060760754</v>
      </c>
      <c r="N87" s="508">
        <f>IF(J92&lt;D11,0,VLOOKUP(J92,C17:O72,11))</f>
        <v>322643.1060760754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315068.77055082901</v>
      </c>
      <c r="N88" s="512">
        <f>IF(J92&lt;D11,0,VLOOKUP(J92,C99:P154,7))</f>
        <v>315068.77055082901</v>
      </c>
      <c r="O88" s="513">
        <f>+N88-M88</f>
        <v>0</v>
      </c>
      <c r="P88" s="233"/>
    </row>
    <row r="89" spans="1:16" ht="13.5" thickBot="1">
      <c r="C89" s="431" t="s">
        <v>92</v>
      </c>
      <c r="D89" s="514"/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-7574.3355252463953</v>
      </c>
      <c r="N89" s="517">
        <f>+N88-N87</f>
        <v>-7574.3355252463953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2394794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v>2020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61405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2020</v>
      </c>
      <c r="D99" s="584">
        <v>0</v>
      </c>
      <c r="E99" s="608">
        <v>0</v>
      </c>
      <c r="F99" s="584">
        <v>2529408</v>
      </c>
      <c r="G99" s="608">
        <v>1264704</v>
      </c>
      <c r="H99" s="587">
        <v>145816.89418304947</v>
      </c>
      <c r="I99" s="607">
        <v>145816.89418304947</v>
      </c>
      <c r="J99" s="478">
        <f>+I99-H99</f>
        <v>0</v>
      </c>
      <c r="K99" s="478"/>
      <c r="L99" s="477">
        <f>+H99</f>
        <v>145816.89418304947</v>
      </c>
      <c r="M99" s="477">
        <f t="shared" ref="M99" si="11">IF(L99&lt;&gt;0,+H99-L99,0)</f>
        <v>0</v>
      </c>
      <c r="N99" s="477">
        <f>+I99</f>
        <v>145816.89418304947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>
      <c r="B100" s="160" t="str">
        <f>IF(D100=F99,"","IU")</f>
        <v>IU</v>
      </c>
      <c r="C100" s="472">
        <f>IF(D93="","-",+C99+1)</f>
        <v>2021</v>
      </c>
      <c r="D100" s="584">
        <v>2537089</v>
      </c>
      <c r="E100" s="585">
        <v>61880</v>
      </c>
      <c r="F100" s="586">
        <v>2475209</v>
      </c>
      <c r="G100" s="586">
        <v>2506149</v>
      </c>
      <c r="H100" s="606">
        <v>347061.69446301</v>
      </c>
      <c r="I100" s="607">
        <v>347061.69446301</v>
      </c>
      <c r="J100" s="478">
        <f t="shared" ref="J100:J130" si="14">+I100-H100</f>
        <v>0</v>
      </c>
      <c r="K100" s="478"/>
      <c r="L100" s="476">
        <f>H100</f>
        <v>347061.69446301</v>
      </c>
      <c r="M100" s="349">
        <f>IF(L100&lt;&gt;0,+H100-L100,0)</f>
        <v>0</v>
      </c>
      <c r="N100" s="476">
        <f>I100</f>
        <v>347061.69446301</v>
      </c>
      <c r="O100" s="478">
        <f t="shared" si="12"/>
        <v>0</v>
      </c>
      <c r="P100" s="478">
        <f t="shared" si="13"/>
        <v>0</v>
      </c>
    </row>
    <row r="101" spans="1:16">
      <c r="B101" s="160" t="str">
        <f t="shared" ref="B101:B154" si="15">IF(D101=F100,"","IU")</f>
        <v>IU</v>
      </c>
      <c r="C101" s="472">
        <f>IF(D93="","-",+C100+1)</f>
        <v>2022</v>
      </c>
      <c r="D101" s="347">
        <f>IF(F100+SUM(E$99:E100)=D$92,F100,D$92-SUM(E$99:E100))</f>
        <v>2332914</v>
      </c>
      <c r="E101" s="484">
        <f t="shared" ref="E101:E154" si="16">IF(+J$96&lt;F100,J$96,D101)</f>
        <v>61405</v>
      </c>
      <c r="F101" s="485">
        <f t="shared" ref="F101:F154" si="17">+D101-E101</f>
        <v>2271509</v>
      </c>
      <c r="G101" s="485">
        <f t="shared" ref="G101:G154" si="18">+(F101+D101)/2</f>
        <v>2302211.5</v>
      </c>
      <c r="H101" s="486">
        <f t="shared" ref="H101:H153" si="19">(D101+F101)/2*J$94+E101</f>
        <v>315068.77055082901</v>
      </c>
      <c r="I101" s="542">
        <f t="shared" ref="I101:I153" si="20">+J$95*G101+E101</f>
        <v>315068.77055082901</v>
      </c>
      <c r="J101" s="478">
        <f t="shared" si="14"/>
        <v>0</v>
      </c>
      <c r="K101" s="478"/>
      <c r="L101" s="487"/>
      <c r="M101" s="478">
        <f t="shared" ref="M101:M130" si="21">IF(L101&lt;&gt;0,+H101-L101,0)</f>
        <v>0</v>
      </c>
      <c r="N101" s="487"/>
      <c r="O101" s="478">
        <f t="shared" si="12"/>
        <v>0</v>
      </c>
      <c r="P101" s="478">
        <f t="shared" si="13"/>
        <v>0</v>
      </c>
    </row>
    <row r="102" spans="1:16">
      <c r="B102" s="160" t="str">
        <f t="shared" si="15"/>
        <v/>
      </c>
      <c r="C102" s="472">
        <f>IF(D93="","-",+C101+1)</f>
        <v>2023</v>
      </c>
      <c r="D102" s="347">
        <f>IF(F101+SUM(E$99:E101)=D$92,F101,D$92-SUM(E$99:E101))</f>
        <v>2271509</v>
      </c>
      <c r="E102" s="484">
        <f t="shared" si="16"/>
        <v>61405</v>
      </c>
      <c r="F102" s="485">
        <f t="shared" si="17"/>
        <v>2210104</v>
      </c>
      <c r="G102" s="485">
        <f t="shared" si="18"/>
        <v>2240806.5</v>
      </c>
      <c r="H102" s="486">
        <f t="shared" si="19"/>
        <v>308303.00475099974</v>
      </c>
      <c r="I102" s="542">
        <f t="shared" si="20"/>
        <v>308303.00475099974</v>
      </c>
      <c r="J102" s="478">
        <f t="shared" si="14"/>
        <v>0</v>
      </c>
      <c r="K102" s="478"/>
      <c r="L102" s="487"/>
      <c r="M102" s="478">
        <f t="shared" si="21"/>
        <v>0</v>
      </c>
      <c r="N102" s="487"/>
      <c r="O102" s="478">
        <f t="shared" si="12"/>
        <v>0</v>
      </c>
      <c r="P102" s="478">
        <f t="shared" si="13"/>
        <v>0</v>
      </c>
    </row>
    <row r="103" spans="1:16">
      <c r="B103" s="160" t="str">
        <f t="shared" si="15"/>
        <v/>
      </c>
      <c r="C103" s="472">
        <f>IF(D93="","-",+C102+1)</f>
        <v>2024</v>
      </c>
      <c r="D103" s="347">
        <f>IF(F102+SUM(E$99:E102)=D$92,F102,D$92-SUM(E$99:E102))</f>
        <v>2210104</v>
      </c>
      <c r="E103" s="484">
        <f t="shared" si="16"/>
        <v>61405</v>
      </c>
      <c r="F103" s="485">
        <f t="shared" si="17"/>
        <v>2148699</v>
      </c>
      <c r="G103" s="485">
        <f t="shared" si="18"/>
        <v>2179401.5</v>
      </c>
      <c r="H103" s="486">
        <f t="shared" si="19"/>
        <v>301537.23895117047</v>
      </c>
      <c r="I103" s="542">
        <f t="shared" si="20"/>
        <v>301537.23895117047</v>
      </c>
      <c r="J103" s="478">
        <f t="shared" si="14"/>
        <v>0</v>
      </c>
      <c r="K103" s="478"/>
      <c r="L103" s="487"/>
      <c r="M103" s="478">
        <f t="shared" si="21"/>
        <v>0</v>
      </c>
      <c r="N103" s="487"/>
      <c r="O103" s="478">
        <f t="shared" si="12"/>
        <v>0</v>
      </c>
      <c r="P103" s="478">
        <f t="shared" si="13"/>
        <v>0</v>
      </c>
    </row>
    <row r="104" spans="1:16">
      <c r="B104" s="160" t="str">
        <f t="shared" si="15"/>
        <v/>
      </c>
      <c r="C104" s="472">
        <f>IF(D93="","-",+C103+1)</f>
        <v>2025</v>
      </c>
      <c r="D104" s="347">
        <f>IF(F103+SUM(E$99:E103)=D$92,F103,D$92-SUM(E$99:E103))</f>
        <v>2148699</v>
      </c>
      <c r="E104" s="484">
        <f t="shared" si="16"/>
        <v>61405</v>
      </c>
      <c r="F104" s="485">
        <f t="shared" si="17"/>
        <v>2087294</v>
      </c>
      <c r="G104" s="485">
        <f t="shared" si="18"/>
        <v>2117996.5</v>
      </c>
      <c r="H104" s="486">
        <f t="shared" si="19"/>
        <v>294771.4731513412</v>
      </c>
      <c r="I104" s="542">
        <f t="shared" si="20"/>
        <v>294771.4731513412</v>
      </c>
      <c r="J104" s="478">
        <f t="shared" si="14"/>
        <v>0</v>
      </c>
      <c r="K104" s="478"/>
      <c r="L104" s="487"/>
      <c r="M104" s="478">
        <f t="shared" si="21"/>
        <v>0</v>
      </c>
      <c r="N104" s="487"/>
      <c r="O104" s="478">
        <f t="shared" si="12"/>
        <v>0</v>
      </c>
      <c r="P104" s="478">
        <f t="shared" si="13"/>
        <v>0</v>
      </c>
    </row>
    <row r="105" spans="1:16">
      <c r="B105" s="160" t="str">
        <f t="shared" si="15"/>
        <v/>
      </c>
      <c r="C105" s="472">
        <f>IF(D93="","-",+C104+1)</f>
        <v>2026</v>
      </c>
      <c r="D105" s="347">
        <f>IF(F104+SUM(E$99:E104)=D$92,F104,D$92-SUM(E$99:E104))</f>
        <v>2087294</v>
      </c>
      <c r="E105" s="484">
        <f t="shared" si="16"/>
        <v>61405</v>
      </c>
      <c r="F105" s="485">
        <f t="shared" si="17"/>
        <v>2025889</v>
      </c>
      <c r="G105" s="485">
        <f t="shared" si="18"/>
        <v>2056591.5</v>
      </c>
      <c r="H105" s="486">
        <f t="shared" si="19"/>
        <v>288005.70735151193</v>
      </c>
      <c r="I105" s="542">
        <f t="shared" si="20"/>
        <v>288005.70735151193</v>
      </c>
      <c r="J105" s="478">
        <f t="shared" si="14"/>
        <v>0</v>
      </c>
      <c r="K105" s="478"/>
      <c r="L105" s="487"/>
      <c r="M105" s="478">
        <f t="shared" si="21"/>
        <v>0</v>
      </c>
      <c r="N105" s="487"/>
      <c r="O105" s="478">
        <f t="shared" si="12"/>
        <v>0</v>
      </c>
      <c r="P105" s="478">
        <f t="shared" si="13"/>
        <v>0</v>
      </c>
    </row>
    <row r="106" spans="1:16">
      <c r="B106" s="160" t="str">
        <f t="shared" si="15"/>
        <v/>
      </c>
      <c r="C106" s="472">
        <f>IF(D93="","-",+C105+1)</f>
        <v>2027</v>
      </c>
      <c r="D106" s="347">
        <f>IF(F105+SUM(E$99:E105)=D$92,F105,D$92-SUM(E$99:E105))</f>
        <v>2025889</v>
      </c>
      <c r="E106" s="484">
        <f t="shared" si="16"/>
        <v>61405</v>
      </c>
      <c r="F106" s="485">
        <f t="shared" si="17"/>
        <v>1964484</v>
      </c>
      <c r="G106" s="485">
        <f t="shared" si="18"/>
        <v>1995186.5</v>
      </c>
      <c r="H106" s="486">
        <f t="shared" si="19"/>
        <v>281239.94155168266</v>
      </c>
      <c r="I106" s="542">
        <f t="shared" si="20"/>
        <v>281239.94155168266</v>
      </c>
      <c r="J106" s="478">
        <f t="shared" si="14"/>
        <v>0</v>
      </c>
      <c r="K106" s="478"/>
      <c r="L106" s="487"/>
      <c r="M106" s="478">
        <f t="shared" si="21"/>
        <v>0</v>
      </c>
      <c r="N106" s="487"/>
      <c r="O106" s="478">
        <f t="shared" si="12"/>
        <v>0</v>
      </c>
      <c r="P106" s="478">
        <f t="shared" si="13"/>
        <v>0</v>
      </c>
    </row>
    <row r="107" spans="1:16">
      <c r="B107" s="160" t="str">
        <f t="shared" si="15"/>
        <v/>
      </c>
      <c r="C107" s="472">
        <f>IF(D93="","-",+C106+1)</f>
        <v>2028</v>
      </c>
      <c r="D107" s="347">
        <f>IF(F106+SUM(E$99:E106)=D$92,F106,D$92-SUM(E$99:E106))</f>
        <v>1964484</v>
      </c>
      <c r="E107" s="484">
        <f t="shared" si="16"/>
        <v>61405</v>
      </c>
      <c r="F107" s="485">
        <f t="shared" si="17"/>
        <v>1903079</v>
      </c>
      <c r="G107" s="485">
        <f t="shared" si="18"/>
        <v>1933781.5</v>
      </c>
      <c r="H107" s="486">
        <f t="shared" si="19"/>
        <v>274474.17575185339</v>
      </c>
      <c r="I107" s="542">
        <f t="shared" si="20"/>
        <v>274474.17575185339</v>
      </c>
      <c r="J107" s="478">
        <f t="shared" si="14"/>
        <v>0</v>
      </c>
      <c r="K107" s="478"/>
      <c r="L107" s="487"/>
      <c r="M107" s="478">
        <f t="shared" si="21"/>
        <v>0</v>
      </c>
      <c r="N107" s="487"/>
      <c r="O107" s="478">
        <f t="shared" si="12"/>
        <v>0</v>
      </c>
      <c r="P107" s="478">
        <f t="shared" si="13"/>
        <v>0</v>
      </c>
    </row>
    <row r="108" spans="1:16">
      <c r="B108" s="160" t="str">
        <f t="shared" si="15"/>
        <v/>
      </c>
      <c r="C108" s="472">
        <f>IF(D93="","-",+C107+1)</f>
        <v>2029</v>
      </c>
      <c r="D108" s="347">
        <f>IF(F107+SUM(E$99:E107)=D$92,F107,D$92-SUM(E$99:E107))</f>
        <v>1903079</v>
      </c>
      <c r="E108" s="484">
        <f t="shared" si="16"/>
        <v>61405</v>
      </c>
      <c r="F108" s="485">
        <f t="shared" si="17"/>
        <v>1841674</v>
      </c>
      <c r="G108" s="485">
        <f t="shared" si="18"/>
        <v>1872376.5</v>
      </c>
      <c r="H108" s="486">
        <f t="shared" si="19"/>
        <v>267708.40995202411</v>
      </c>
      <c r="I108" s="542">
        <f t="shared" si="20"/>
        <v>267708.40995202411</v>
      </c>
      <c r="J108" s="478">
        <f t="shared" si="14"/>
        <v>0</v>
      </c>
      <c r="K108" s="478"/>
      <c r="L108" s="487"/>
      <c r="M108" s="478">
        <f t="shared" si="21"/>
        <v>0</v>
      </c>
      <c r="N108" s="487"/>
      <c r="O108" s="478">
        <f t="shared" si="12"/>
        <v>0</v>
      </c>
      <c r="P108" s="478">
        <f t="shared" si="13"/>
        <v>0</v>
      </c>
    </row>
    <row r="109" spans="1:16">
      <c r="B109" s="160" t="str">
        <f t="shared" si="15"/>
        <v/>
      </c>
      <c r="C109" s="472">
        <f>IF(D93="","-",+C108+1)</f>
        <v>2030</v>
      </c>
      <c r="D109" s="347">
        <f>IF(F108+SUM(E$99:E108)=D$92,F108,D$92-SUM(E$99:E108))</f>
        <v>1841674</v>
      </c>
      <c r="E109" s="484">
        <f t="shared" si="16"/>
        <v>61405</v>
      </c>
      <c r="F109" s="485">
        <f t="shared" si="17"/>
        <v>1780269</v>
      </c>
      <c r="G109" s="485">
        <f t="shared" si="18"/>
        <v>1810971.5</v>
      </c>
      <c r="H109" s="486">
        <f t="shared" si="19"/>
        <v>260942.64415219479</v>
      </c>
      <c r="I109" s="542">
        <f t="shared" si="20"/>
        <v>260942.64415219479</v>
      </c>
      <c r="J109" s="478">
        <f t="shared" si="14"/>
        <v>0</v>
      </c>
      <c r="K109" s="478"/>
      <c r="L109" s="487"/>
      <c r="M109" s="478">
        <f t="shared" si="21"/>
        <v>0</v>
      </c>
      <c r="N109" s="487"/>
      <c r="O109" s="478">
        <f t="shared" si="12"/>
        <v>0</v>
      </c>
      <c r="P109" s="478">
        <f t="shared" si="13"/>
        <v>0</v>
      </c>
    </row>
    <row r="110" spans="1:16">
      <c r="B110" s="160" t="str">
        <f t="shared" si="15"/>
        <v/>
      </c>
      <c r="C110" s="472">
        <f>IF(D93="","-",+C109+1)</f>
        <v>2031</v>
      </c>
      <c r="D110" s="347">
        <f>IF(F109+SUM(E$99:E109)=D$92,F109,D$92-SUM(E$99:E109))</f>
        <v>1780269</v>
      </c>
      <c r="E110" s="484">
        <f t="shared" si="16"/>
        <v>61405</v>
      </c>
      <c r="F110" s="485">
        <f t="shared" si="17"/>
        <v>1718864</v>
      </c>
      <c r="G110" s="485">
        <f t="shared" si="18"/>
        <v>1749566.5</v>
      </c>
      <c r="H110" s="486">
        <f t="shared" si="19"/>
        <v>254176.87835236551</v>
      </c>
      <c r="I110" s="542">
        <f t="shared" si="20"/>
        <v>254176.87835236551</v>
      </c>
      <c r="J110" s="478">
        <f t="shared" si="14"/>
        <v>0</v>
      </c>
      <c r="K110" s="478"/>
      <c r="L110" s="487"/>
      <c r="M110" s="478">
        <f t="shared" si="21"/>
        <v>0</v>
      </c>
      <c r="N110" s="487"/>
      <c r="O110" s="478">
        <f t="shared" si="12"/>
        <v>0</v>
      </c>
      <c r="P110" s="478">
        <f t="shared" si="13"/>
        <v>0</v>
      </c>
    </row>
    <row r="111" spans="1:16">
      <c r="B111" s="160" t="str">
        <f t="shared" si="15"/>
        <v/>
      </c>
      <c r="C111" s="472">
        <f>IF(D93="","-",+C110+1)</f>
        <v>2032</v>
      </c>
      <c r="D111" s="347">
        <f>IF(F110+SUM(E$99:E110)=D$92,F110,D$92-SUM(E$99:E110))</f>
        <v>1718864</v>
      </c>
      <c r="E111" s="484">
        <f t="shared" si="16"/>
        <v>61405</v>
      </c>
      <c r="F111" s="485">
        <f t="shared" si="17"/>
        <v>1657459</v>
      </c>
      <c r="G111" s="485">
        <f t="shared" si="18"/>
        <v>1688161.5</v>
      </c>
      <c r="H111" s="486">
        <f t="shared" si="19"/>
        <v>247411.11255253624</v>
      </c>
      <c r="I111" s="542">
        <f t="shared" si="20"/>
        <v>247411.11255253624</v>
      </c>
      <c r="J111" s="478">
        <f t="shared" si="14"/>
        <v>0</v>
      </c>
      <c r="K111" s="478"/>
      <c r="L111" s="487"/>
      <c r="M111" s="478">
        <f t="shared" si="21"/>
        <v>0</v>
      </c>
      <c r="N111" s="487"/>
      <c r="O111" s="478">
        <f t="shared" si="12"/>
        <v>0</v>
      </c>
      <c r="P111" s="478">
        <f t="shared" si="13"/>
        <v>0</v>
      </c>
    </row>
    <row r="112" spans="1:16">
      <c r="B112" s="160" t="str">
        <f t="shared" si="15"/>
        <v/>
      </c>
      <c r="C112" s="472">
        <f>IF(D93="","-",+C111+1)</f>
        <v>2033</v>
      </c>
      <c r="D112" s="347">
        <f>IF(F111+SUM(E$99:E111)=D$92,F111,D$92-SUM(E$99:E111))</f>
        <v>1657459</v>
      </c>
      <c r="E112" s="484">
        <f t="shared" si="16"/>
        <v>61405</v>
      </c>
      <c r="F112" s="485">
        <f t="shared" si="17"/>
        <v>1596054</v>
      </c>
      <c r="G112" s="485">
        <f t="shared" si="18"/>
        <v>1626756.5</v>
      </c>
      <c r="H112" s="486">
        <f t="shared" si="19"/>
        <v>240645.34675270697</v>
      </c>
      <c r="I112" s="542">
        <f t="shared" si="20"/>
        <v>240645.34675270697</v>
      </c>
      <c r="J112" s="478">
        <f t="shared" si="14"/>
        <v>0</v>
      </c>
      <c r="K112" s="478"/>
      <c r="L112" s="487"/>
      <c r="M112" s="478">
        <f t="shared" si="21"/>
        <v>0</v>
      </c>
      <c r="N112" s="487"/>
      <c r="O112" s="478">
        <f t="shared" si="12"/>
        <v>0</v>
      </c>
      <c r="P112" s="478">
        <f t="shared" si="13"/>
        <v>0</v>
      </c>
    </row>
    <row r="113" spans="2:16">
      <c r="B113" s="160" t="str">
        <f t="shared" si="15"/>
        <v/>
      </c>
      <c r="C113" s="472">
        <f>IF(D93="","-",+C112+1)</f>
        <v>2034</v>
      </c>
      <c r="D113" s="347">
        <f>IF(F112+SUM(E$99:E112)=D$92,F112,D$92-SUM(E$99:E112))</f>
        <v>1596054</v>
      </c>
      <c r="E113" s="484">
        <f t="shared" si="16"/>
        <v>61405</v>
      </c>
      <c r="F113" s="485">
        <f t="shared" si="17"/>
        <v>1534649</v>
      </c>
      <c r="G113" s="485">
        <f t="shared" si="18"/>
        <v>1565351.5</v>
      </c>
      <c r="H113" s="486">
        <f t="shared" si="19"/>
        <v>233879.5809528777</v>
      </c>
      <c r="I113" s="542">
        <f t="shared" si="20"/>
        <v>233879.5809528777</v>
      </c>
      <c r="J113" s="478">
        <f t="shared" si="14"/>
        <v>0</v>
      </c>
      <c r="K113" s="478"/>
      <c r="L113" s="487"/>
      <c r="M113" s="478">
        <f t="shared" si="21"/>
        <v>0</v>
      </c>
      <c r="N113" s="487"/>
      <c r="O113" s="478">
        <f t="shared" si="12"/>
        <v>0</v>
      </c>
      <c r="P113" s="478">
        <f t="shared" si="13"/>
        <v>0</v>
      </c>
    </row>
    <row r="114" spans="2:16">
      <c r="B114" s="160" t="str">
        <f t="shared" si="15"/>
        <v/>
      </c>
      <c r="C114" s="472">
        <f>IF(D93="","-",+C113+1)</f>
        <v>2035</v>
      </c>
      <c r="D114" s="347">
        <f>IF(F113+SUM(E$99:E113)=D$92,F113,D$92-SUM(E$99:E113))</f>
        <v>1534649</v>
      </c>
      <c r="E114" s="484">
        <f t="shared" si="16"/>
        <v>61405</v>
      </c>
      <c r="F114" s="485">
        <f t="shared" si="17"/>
        <v>1473244</v>
      </c>
      <c r="G114" s="485">
        <f t="shared" si="18"/>
        <v>1503946.5</v>
      </c>
      <c r="H114" s="486">
        <f t="shared" si="19"/>
        <v>227113.81515304843</v>
      </c>
      <c r="I114" s="542">
        <f t="shared" si="20"/>
        <v>227113.81515304843</v>
      </c>
      <c r="J114" s="478">
        <f t="shared" si="14"/>
        <v>0</v>
      </c>
      <c r="K114" s="478"/>
      <c r="L114" s="487"/>
      <c r="M114" s="478">
        <f t="shared" si="21"/>
        <v>0</v>
      </c>
      <c r="N114" s="487"/>
      <c r="O114" s="478">
        <f t="shared" si="12"/>
        <v>0</v>
      </c>
      <c r="P114" s="478">
        <f t="shared" si="13"/>
        <v>0</v>
      </c>
    </row>
    <row r="115" spans="2:16">
      <c r="B115" s="160" t="str">
        <f t="shared" si="15"/>
        <v/>
      </c>
      <c r="C115" s="472">
        <f>IF(D93="","-",+C114+1)</f>
        <v>2036</v>
      </c>
      <c r="D115" s="347">
        <f>IF(F114+SUM(E$99:E114)=D$92,F114,D$92-SUM(E$99:E114))</f>
        <v>1473244</v>
      </c>
      <c r="E115" s="484">
        <f t="shared" si="16"/>
        <v>61405</v>
      </c>
      <c r="F115" s="485">
        <f t="shared" si="17"/>
        <v>1411839</v>
      </c>
      <c r="G115" s="485">
        <f t="shared" si="18"/>
        <v>1442541.5</v>
      </c>
      <c r="H115" s="486">
        <f t="shared" si="19"/>
        <v>220348.04935321916</v>
      </c>
      <c r="I115" s="542">
        <f t="shared" si="20"/>
        <v>220348.04935321916</v>
      </c>
      <c r="J115" s="478">
        <f t="shared" si="14"/>
        <v>0</v>
      </c>
      <c r="K115" s="478"/>
      <c r="L115" s="487"/>
      <c r="M115" s="478">
        <f t="shared" si="21"/>
        <v>0</v>
      </c>
      <c r="N115" s="487"/>
      <c r="O115" s="478">
        <f t="shared" si="12"/>
        <v>0</v>
      </c>
      <c r="P115" s="478">
        <f t="shared" si="13"/>
        <v>0</v>
      </c>
    </row>
    <row r="116" spans="2:16">
      <c r="B116" s="160" t="str">
        <f t="shared" si="15"/>
        <v/>
      </c>
      <c r="C116" s="472">
        <f>IF(D93="","-",+C115+1)</f>
        <v>2037</v>
      </c>
      <c r="D116" s="347">
        <f>IF(F115+SUM(E$99:E115)=D$92,F115,D$92-SUM(E$99:E115))</f>
        <v>1411839</v>
      </c>
      <c r="E116" s="484">
        <f t="shared" si="16"/>
        <v>61405</v>
      </c>
      <c r="F116" s="485">
        <f t="shared" si="17"/>
        <v>1350434</v>
      </c>
      <c r="G116" s="485">
        <f t="shared" si="18"/>
        <v>1381136.5</v>
      </c>
      <c r="H116" s="486">
        <f t="shared" si="19"/>
        <v>213582.28355338986</v>
      </c>
      <c r="I116" s="542">
        <f t="shared" si="20"/>
        <v>213582.28355338986</v>
      </c>
      <c r="J116" s="478">
        <f t="shared" si="14"/>
        <v>0</v>
      </c>
      <c r="K116" s="478"/>
      <c r="L116" s="487"/>
      <c r="M116" s="478">
        <f t="shared" si="21"/>
        <v>0</v>
      </c>
      <c r="N116" s="487"/>
      <c r="O116" s="478">
        <f t="shared" si="12"/>
        <v>0</v>
      </c>
      <c r="P116" s="478">
        <f t="shared" si="13"/>
        <v>0</v>
      </c>
    </row>
    <row r="117" spans="2:16">
      <c r="B117" s="160" t="str">
        <f t="shared" si="15"/>
        <v/>
      </c>
      <c r="C117" s="472">
        <f>IF(D93="","-",+C116+1)</f>
        <v>2038</v>
      </c>
      <c r="D117" s="347">
        <f>IF(F116+SUM(E$99:E116)=D$92,F116,D$92-SUM(E$99:E116))</f>
        <v>1350434</v>
      </c>
      <c r="E117" s="484">
        <f t="shared" si="16"/>
        <v>61405</v>
      </c>
      <c r="F117" s="485">
        <f t="shared" si="17"/>
        <v>1289029</v>
      </c>
      <c r="G117" s="485">
        <f t="shared" si="18"/>
        <v>1319731.5</v>
      </c>
      <c r="H117" s="486">
        <f t="shared" si="19"/>
        <v>206816.51775356059</v>
      </c>
      <c r="I117" s="542">
        <f t="shared" si="20"/>
        <v>206816.51775356059</v>
      </c>
      <c r="J117" s="478">
        <f t="shared" si="14"/>
        <v>0</v>
      </c>
      <c r="K117" s="478"/>
      <c r="L117" s="487"/>
      <c r="M117" s="478">
        <f t="shared" si="21"/>
        <v>0</v>
      </c>
      <c r="N117" s="487"/>
      <c r="O117" s="478">
        <f t="shared" si="12"/>
        <v>0</v>
      </c>
      <c r="P117" s="478">
        <f t="shared" si="13"/>
        <v>0</v>
      </c>
    </row>
    <row r="118" spans="2:16">
      <c r="B118" s="160" t="str">
        <f t="shared" si="15"/>
        <v/>
      </c>
      <c r="C118" s="472">
        <f>IF(D93="","-",+C117+1)</f>
        <v>2039</v>
      </c>
      <c r="D118" s="347">
        <f>IF(F117+SUM(E$99:E117)=D$92,F117,D$92-SUM(E$99:E117))</f>
        <v>1289029</v>
      </c>
      <c r="E118" s="484">
        <f t="shared" si="16"/>
        <v>61405</v>
      </c>
      <c r="F118" s="485">
        <f t="shared" si="17"/>
        <v>1227624</v>
      </c>
      <c r="G118" s="485">
        <f t="shared" si="18"/>
        <v>1258326.5</v>
      </c>
      <c r="H118" s="486">
        <f t="shared" si="19"/>
        <v>200050.75195373132</v>
      </c>
      <c r="I118" s="542">
        <f t="shared" si="20"/>
        <v>200050.75195373132</v>
      </c>
      <c r="J118" s="478">
        <f t="shared" si="14"/>
        <v>0</v>
      </c>
      <c r="K118" s="478"/>
      <c r="L118" s="487"/>
      <c r="M118" s="478">
        <f t="shared" si="21"/>
        <v>0</v>
      </c>
      <c r="N118" s="487"/>
      <c r="O118" s="478">
        <f t="shared" si="12"/>
        <v>0</v>
      </c>
      <c r="P118" s="478">
        <f t="shared" si="13"/>
        <v>0</v>
      </c>
    </row>
    <row r="119" spans="2:16">
      <c r="B119" s="160" t="str">
        <f t="shared" si="15"/>
        <v/>
      </c>
      <c r="C119" s="472">
        <f>IF(D93="","-",+C118+1)</f>
        <v>2040</v>
      </c>
      <c r="D119" s="347">
        <f>IF(F118+SUM(E$99:E118)=D$92,F118,D$92-SUM(E$99:E118))</f>
        <v>1227624</v>
      </c>
      <c r="E119" s="484">
        <f t="shared" si="16"/>
        <v>61405</v>
      </c>
      <c r="F119" s="485">
        <f t="shared" si="17"/>
        <v>1166219</v>
      </c>
      <c r="G119" s="485">
        <f t="shared" si="18"/>
        <v>1196921.5</v>
      </c>
      <c r="H119" s="486">
        <f t="shared" si="19"/>
        <v>193284.98615390205</v>
      </c>
      <c r="I119" s="542">
        <f t="shared" si="20"/>
        <v>193284.98615390205</v>
      </c>
      <c r="J119" s="478">
        <f t="shared" si="14"/>
        <v>0</v>
      </c>
      <c r="K119" s="478"/>
      <c r="L119" s="487"/>
      <c r="M119" s="478">
        <f t="shared" si="21"/>
        <v>0</v>
      </c>
      <c r="N119" s="487"/>
      <c r="O119" s="478">
        <f t="shared" si="12"/>
        <v>0</v>
      </c>
      <c r="P119" s="478">
        <f t="shared" si="13"/>
        <v>0</v>
      </c>
    </row>
    <row r="120" spans="2:16">
      <c r="B120" s="160" t="str">
        <f t="shared" si="15"/>
        <v/>
      </c>
      <c r="C120" s="472">
        <f>IF(D93="","-",+C119+1)</f>
        <v>2041</v>
      </c>
      <c r="D120" s="347">
        <f>IF(F119+SUM(E$99:E119)=D$92,F119,D$92-SUM(E$99:E119))</f>
        <v>1166219</v>
      </c>
      <c r="E120" s="484">
        <f t="shared" si="16"/>
        <v>61405</v>
      </c>
      <c r="F120" s="485">
        <f t="shared" si="17"/>
        <v>1104814</v>
      </c>
      <c r="G120" s="485">
        <f t="shared" si="18"/>
        <v>1135516.5</v>
      </c>
      <c r="H120" s="486">
        <f t="shared" si="19"/>
        <v>186519.22035407278</v>
      </c>
      <c r="I120" s="542">
        <f t="shared" si="20"/>
        <v>186519.22035407278</v>
      </c>
      <c r="J120" s="478">
        <f t="shared" si="14"/>
        <v>0</v>
      </c>
      <c r="K120" s="478"/>
      <c r="L120" s="487"/>
      <c r="M120" s="478">
        <f t="shared" si="21"/>
        <v>0</v>
      </c>
      <c r="N120" s="487"/>
      <c r="O120" s="478">
        <f t="shared" si="12"/>
        <v>0</v>
      </c>
      <c r="P120" s="478">
        <f t="shared" si="13"/>
        <v>0</v>
      </c>
    </row>
    <row r="121" spans="2:16">
      <c r="B121" s="160" t="str">
        <f t="shared" si="15"/>
        <v/>
      </c>
      <c r="C121" s="472">
        <f>IF(D93="","-",+C120+1)</f>
        <v>2042</v>
      </c>
      <c r="D121" s="347">
        <f>IF(F120+SUM(E$99:E120)=D$92,F120,D$92-SUM(E$99:E120))</f>
        <v>1104814</v>
      </c>
      <c r="E121" s="484">
        <f t="shared" si="16"/>
        <v>61405</v>
      </c>
      <c r="F121" s="485">
        <f t="shared" si="17"/>
        <v>1043409</v>
      </c>
      <c r="G121" s="485">
        <f t="shared" si="18"/>
        <v>1074111.5</v>
      </c>
      <c r="H121" s="486">
        <f t="shared" si="19"/>
        <v>179753.45455424348</v>
      </c>
      <c r="I121" s="542">
        <f t="shared" si="20"/>
        <v>179753.45455424348</v>
      </c>
      <c r="J121" s="478">
        <f t="shared" si="14"/>
        <v>0</v>
      </c>
      <c r="K121" s="478"/>
      <c r="L121" s="487"/>
      <c r="M121" s="478">
        <f t="shared" si="21"/>
        <v>0</v>
      </c>
      <c r="N121" s="487"/>
      <c r="O121" s="478">
        <f t="shared" si="12"/>
        <v>0</v>
      </c>
      <c r="P121" s="478">
        <f t="shared" si="13"/>
        <v>0</v>
      </c>
    </row>
    <row r="122" spans="2:16">
      <c r="B122" s="160" t="str">
        <f t="shared" si="15"/>
        <v/>
      </c>
      <c r="C122" s="472">
        <f>IF(D93="","-",+C121+1)</f>
        <v>2043</v>
      </c>
      <c r="D122" s="347">
        <f>IF(F121+SUM(E$99:E121)=D$92,F121,D$92-SUM(E$99:E121))</f>
        <v>1043409</v>
      </c>
      <c r="E122" s="484">
        <f t="shared" si="16"/>
        <v>61405</v>
      </c>
      <c r="F122" s="485">
        <f t="shared" si="17"/>
        <v>982004</v>
      </c>
      <c r="G122" s="485">
        <f t="shared" si="18"/>
        <v>1012706.5</v>
      </c>
      <c r="H122" s="486">
        <f t="shared" si="19"/>
        <v>172987.68875441421</v>
      </c>
      <c r="I122" s="542">
        <f t="shared" si="20"/>
        <v>172987.68875441421</v>
      </c>
      <c r="J122" s="478">
        <f t="shared" si="14"/>
        <v>0</v>
      </c>
      <c r="K122" s="478"/>
      <c r="L122" s="487"/>
      <c r="M122" s="478">
        <f t="shared" si="21"/>
        <v>0</v>
      </c>
      <c r="N122" s="487"/>
      <c r="O122" s="478">
        <f t="shared" si="12"/>
        <v>0</v>
      </c>
      <c r="P122" s="478">
        <f t="shared" si="13"/>
        <v>0</v>
      </c>
    </row>
    <row r="123" spans="2:16">
      <c r="B123" s="160" t="str">
        <f t="shared" si="15"/>
        <v/>
      </c>
      <c r="C123" s="472">
        <f>IF(D93="","-",+C122+1)</f>
        <v>2044</v>
      </c>
      <c r="D123" s="347">
        <f>IF(F122+SUM(E$99:E122)=D$92,F122,D$92-SUM(E$99:E122))</f>
        <v>982004</v>
      </c>
      <c r="E123" s="484">
        <f t="shared" si="16"/>
        <v>61405</v>
      </c>
      <c r="F123" s="485">
        <f t="shared" si="17"/>
        <v>920599</v>
      </c>
      <c r="G123" s="485">
        <f t="shared" si="18"/>
        <v>951301.5</v>
      </c>
      <c r="H123" s="486">
        <f t="shared" si="19"/>
        <v>166221.92295458494</v>
      </c>
      <c r="I123" s="542">
        <f t="shared" si="20"/>
        <v>166221.92295458494</v>
      </c>
      <c r="J123" s="478">
        <f t="shared" si="14"/>
        <v>0</v>
      </c>
      <c r="K123" s="478"/>
      <c r="L123" s="487"/>
      <c r="M123" s="478">
        <f t="shared" si="21"/>
        <v>0</v>
      </c>
      <c r="N123" s="487"/>
      <c r="O123" s="478">
        <f t="shared" si="12"/>
        <v>0</v>
      </c>
      <c r="P123" s="478">
        <f t="shared" si="13"/>
        <v>0</v>
      </c>
    </row>
    <row r="124" spans="2:16">
      <c r="B124" s="160" t="str">
        <f t="shared" si="15"/>
        <v/>
      </c>
      <c r="C124" s="472">
        <f>IF(D93="","-",+C123+1)</f>
        <v>2045</v>
      </c>
      <c r="D124" s="347">
        <f>IF(F123+SUM(E$99:E123)=D$92,F123,D$92-SUM(E$99:E123))</f>
        <v>920599</v>
      </c>
      <c r="E124" s="484">
        <f t="shared" si="16"/>
        <v>61405</v>
      </c>
      <c r="F124" s="485">
        <f t="shared" si="17"/>
        <v>859194</v>
      </c>
      <c r="G124" s="485">
        <f t="shared" si="18"/>
        <v>889896.5</v>
      </c>
      <c r="H124" s="486">
        <f t="shared" si="19"/>
        <v>159456.15715475567</v>
      </c>
      <c r="I124" s="542">
        <f t="shared" si="20"/>
        <v>159456.15715475567</v>
      </c>
      <c r="J124" s="478">
        <f t="shared" si="14"/>
        <v>0</v>
      </c>
      <c r="K124" s="478"/>
      <c r="L124" s="487"/>
      <c r="M124" s="478">
        <f t="shared" si="21"/>
        <v>0</v>
      </c>
      <c r="N124" s="487"/>
      <c r="O124" s="478">
        <f t="shared" si="12"/>
        <v>0</v>
      </c>
      <c r="P124" s="478">
        <f t="shared" si="13"/>
        <v>0</v>
      </c>
    </row>
    <row r="125" spans="2:16">
      <c r="B125" s="160" t="str">
        <f t="shared" si="15"/>
        <v/>
      </c>
      <c r="C125" s="472">
        <f>IF(D93="","-",+C124+1)</f>
        <v>2046</v>
      </c>
      <c r="D125" s="347">
        <f>IF(F124+SUM(E$99:E124)=D$92,F124,D$92-SUM(E$99:E124))</f>
        <v>859194</v>
      </c>
      <c r="E125" s="484">
        <f t="shared" si="16"/>
        <v>61405</v>
      </c>
      <c r="F125" s="485">
        <f t="shared" si="17"/>
        <v>797789</v>
      </c>
      <c r="G125" s="485">
        <f t="shared" si="18"/>
        <v>828491.5</v>
      </c>
      <c r="H125" s="486">
        <f t="shared" si="19"/>
        <v>152690.3913549264</v>
      </c>
      <c r="I125" s="542">
        <f t="shared" si="20"/>
        <v>152690.3913549264</v>
      </c>
      <c r="J125" s="478">
        <f t="shared" si="14"/>
        <v>0</v>
      </c>
      <c r="K125" s="478"/>
      <c r="L125" s="487"/>
      <c r="M125" s="478">
        <f t="shared" si="21"/>
        <v>0</v>
      </c>
      <c r="N125" s="487"/>
      <c r="O125" s="478">
        <f t="shared" si="12"/>
        <v>0</v>
      </c>
      <c r="P125" s="478">
        <f t="shared" si="13"/>
        <v>0</v>
      </c>
    </row>
    <row r="126" spans="2:16">
      <c r="B126" s="160" t="str">
        <f t="shared" si="15"/>
        <v/>
      </c>
      <c r="C126" s="472">
        <f>IF(D93="","-",+C125+1)</f>
        <v>2047</v>
      </c>
      <c r="D126" s="347">
        <f>IF(F125+SUM(E$99:E125)=D$92,F125,D$92-SUM(E$99:E125))</f>
        <v>797789</v>
      </c>
      <c r="E126" s="484">
        <f t="shared" si="16"/>
        <v>61405</v>
      </c>
      <c r="F126" s="485">
        <f t="shared" si="17"/>
        <v>736384</v>
      </c>
      <c r="G126" s="485">
        <f t="shared" si="18"/>
        <v>767086.5</v>
      </c>
      <c r="H126" s="486">
        <f t="shared" si="19"/>
        <v>145924.62555509713</v>
      </c>
      <c r="I126" s="542">
        <f t="shared" si="20"/>
        <v>145924.62555509713</v>
      </c>
      <c r="J126" s="478">
        <f t="shared" si="14"/>
        <v>0</v>
      </c>
      <c r="K126" s="478"/>
      <c r="L126" s="487"/>
      <c r="M126" s="478">
        <f t="shared" si="21"/>
        <v>0</v>
      </c>
      <c r="N126" s="487"/>
      <c r="O126" s="478">
        <f t="shared" si="12"/>
        <v>0</v>
      </c>
      <c r="P126" s="478">
        <f t="shared" si="13"/>
        <v>0</v>
      </c>
    </row>
    <row r="127" spans="2:16">
      <c r="B127" s="160" t="str">
        <f t="shared" si="15"/>
        <v/>
      </c>
      <c r="C127" s="472">
        <f>IF(D93="","-",+C126+1)</f>
        <v>2048</v>
      </c>
      <c r="D127" s="347">
        <f>IF(F126+SUM(E$99:E126)=D$92,F126,D$92-SUM(E$99:E126))</f>
        <v>736384</v>
      </c>
      <c r="E127" s="484">
        <f t="shared" si="16"/>
        <v>61405</v>
      </c>
      <c r="F127" s="485">
        <f t="shared" si="17"/>
        <v>674979</v>
      </c>
      <c r="G127" s="485">
        <f t="shared" si="18"/>
        <v>705681.5</v>
      </c>
      <c r="H127" s="486">
        <f t="shared" si="19"/>
        <v>139158.85975526785</v>
      </c>
      <c r="I127" s="542">
        <f t="shared" si="20"/>
        <v>139158.85975526785</v>
      </c>
      <c r="J127" s="478">
        <f t="shared" si="14"/>
        <v>0</v>
      </c>
      <c r="K127" s="478"/>
      <c r="L127" s="487"/>
      <c r="M127" s="478">
        <f t="shared" si="21"/>
        <v>0</v>
      </c>
      <c r="N127" s="487"/>
      <c r="O127" s="478">
        <f t="shared" si="12"/>
        <v>0</v>
      </c>
      <c r="P127" s="478">
        <f t="shared" si="13"/>
        <v>0</v>
      </c>
    </row>
    <row r="128" spans="2:16">
      <c r="B128" s="160" t="str">
        <f t="shared" si="15"/>
        <v/>
      </c>
      <c r="C128" s="472">
        <f>IF(D93="","-",+C127+1)</f>
        <v>2049</v>
      </c>
      <c r="D128" s="347">
        <f>IF(F127+SUM(E$99:E127)=D$92,F127,D$92-SUM(E$99:E127))</f>
        <v>674979</v>
      </c>
      <c r="E128" s="484">
        <f t="shared" si="16"/>
        <v>61405</v>
      </c>
      <c r="F128" s="485">
        <f t="shared" si="17"/>
        <v>613574</v>
      </c>
      <c r="G128" s="485">
        <f t="shared" si="18"/>
        <v>644276.5</v>
      </c>
      <c r="H128" s="486">
        <f t="shared" si="19"/>
        <v>132393.09395543858</v>
      </c>
      <c r="I128" s="542">
        <f t="shared" si="20"/>
        <v>132393.09395543858</v>
      </c>
      <c r="J128" s="478">
        <f t="shared" si="14"/>
        <v>0</v>
      </c>
      <c r="K128" s="478"/>
      <c r="L128" s="487"/>
      <c r="M128" s="478">
        <f t="shared" si="21"/>
        <v>0</v>
      </c>
      <c r="N128" s="487"/>
      <c r="O128" s="478">
        <f t="shared" si="12"/>
        <v>0</v>
      </c>
      <c r="P128" s="478">
        <f t="shared" si="13"/>
        <v>0</v>
      </c>
    </row>
    <row r="129" spans="2:16">
      <c r="B129" s="160" t="str">
        <f t="shared" si="15"/>
        <v/>
      </c>
      <c r="C129" s="472">
        <f>IF(D93="","-",+C128+1)</f>
        <v>2050</v>
      </c>
      <c r="D129" s="347">
        <f>IF(F128+SUM(E$99:E128)=D$92,F128,D$92-SUM(E$99:E128))</f>
        <v>613574</v>
      </c>
      <c r="E129" s="484">
        <f t="shared" si="16"/>
        <v>61405</v>
      </c>
      <c r="F129" s="485">
        <f t="shared" si="17"/>
        <v>552169</v>
      </c>
      <c r="G129" s="485">
        <f t="shared" si="18"/>
        <v>582871.5</v>
      </c>
      <c r="H129" s="486">
        <f t="shared" si="19"/>
        <v>125627.3281556093</v>
      </c>
      <c r="I129" s="542">
        <f t="shared" si="20"/>
        <v>125627.3281556093</v>
      </c>
      <c r="J129" s="478">
        <f t="shared" si="14"/>
        <v>0</v>
      </c>
      <c r="K129" s="478"/>
      <c r="L129" s="487"/>
      <c r="M129" s="478">
        <f t="shared" si="21"/>
        <v>0</v>
      </c>
      <c r="N129" s="487"/>
      <c r="O129" s="478">
        <f t="shared" si="12"/>
        <v>0</v>
      </c>
      <c r="P129" s="478">
        <f t="shared" si="13"/>
        <v>0</v>
      </c>
    </row>
    <row r="130" spans="2:16">
      <c r="B130" s="160" t="str">
        <f t="shared" si="15"/>
        <v/>
      </c>
      <c r="C130" s="472">
        <f>IF(D93="","-",+C129+1)</f>
        <v>2051</v>
      </c>
      <c r="D130" s="347">
        <f>IF(F129+SUM(E$99:E129)=D$92,F129,D$92-SUM(E$99:E129))</f>
        <v>552169</v>
      </c>
      <c r="E130" s="484">
        <f t="shared" si="16"/>
        <v>61405</v>
      </c>
      <c r="F130" s="485">
        <f t="shared" si="17"/>
        <v>490764</v>
      </c>
      <c r="G130" s="485">
        <f t="shared" si="18"/>
        <v>521466.5</v>
      </c>
      <c r="H130" s="486">
        <f t="shared" si="19"/>
        <v>118861.56235578003</v>
      </c>
      <c r="I130" s="542">
        <f t="shared" si="20"/>
        <v>118861.56235578003</v>
      </c>
      <c r="J130" s="478">
        <f t="shared" si="14"/>
        <v>0</v>
      </c>
      <c r="K130" s="478"/>
      <c r="L130" s="487"/>
      <c r="M130" s="478">
        <f t="shared" si="21"/>
        <v>0</v>
      </c>
      <c r="N130" s="487"/>
      <c r="O130" s="478">
        <f t="shared" si="12"/>
        <v>0</v>
      </c>
      <c r="P130" s="478">
        <f t="shared" si="13"/>
        <v>0</v>
      </c>
    </row>
    <row r="131" spans="2:16">
      <c r="B131" s="160" t="str">
        <f t="shared" si="15"/>
        <v/>
      </c>
      <c r="C131" s="472">
        <f>IF(D93="","-",+C130+1)</f>
        <v>2052</v>
      </c>
      <c r="D131" s="347">
        <f>IF(F130+SUM(E$99:E130)=D$92,F130,D$92-SUM(E$99:E130))</f>
        <v>490764</v>
      </c>
      <c r="E131" s="484">
        <f t="shared" si="16"/>
        <v>61405</v>
      </c>
      <c r="F131" s="485">
        <f t="shared" si="17"/>
        <v>429359</v>
      </c>
      <c r="G131" s="485">
        <f t="shared" si="18"/>
        <v>460061.5</v>
      </c>
      <c r="H131" s="486">
        <f t="shared" si="19"/>
        <v>112095.79655595074</v>
      </c>
      <c r="I131" s="542">
        <f t="shared" si="20"/>
        <v>112095.79655595074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5"/>
        <v/>
      </c>
      <c r="C132" s="472">
        <f>IF(D93="","-",+C131+1)</f>
        <v>2053</v>
      </c>
      <c r="D132" s="347">
        <f>IF(F131+SUM(E$99:E131)=D$92,F131,D$92-SUM(E$99:E131))</f>
        <v>429359</v>
      </c>
      <c r="E132" s="484">
        <f t="shared" si="16"/>
        <v>61405</v>
      </c>
      <c r="F132" s="485">
        <f t="shared" si="17"/>
        <v>367954</v>
      </c>
      <c r="G132" s="485">
        <f t="shared" si="18"/>
        <v>398656.5</v>
      </c>
      <c r="H132" s="486">
        <f t="shared" si="19"/>
        <v>105330.03075612147</v>
      </c>
      <c r="I132" s="542">
        <f t="shared" si="20"/>
        <v>105330.03075612147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5"/>
        <v/>
      </c>
      <c r="C133" s="472">
        <f>IF(D93="","-",+C132+1)</f>
        <v>2054</v>
      </c>
      <c r="D133" s="347">
        <f>IF(F132+SUM(E$99:E132)=D$92,F132,D$92-SUM(E$99:E132))</f>
        <v>367954</v>
      </c>
      <c r="E133" s="484">
        <f t="shared" si="16"/>
        <v>61405</v>
      </c>
      <c r="F133" s="485">
        <f t="shared" si="17"/>
        <v>306549</v>
      </c>
      <c r="G133" s="485">
        <f t="shared" si="18"/>
        <v>337251.5</v>
      </c>
      <c r="H133" s="486">
        <f t="shared" si="19"/>
        <v>98564.264956292202</v>
      </c>
      <c r="I133" s="542">
        <f t="shared" si="20"/>
        <v>98564.264956292202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5"/>
        <v/>
      </c>
      <c r="C134" s="472">
        <f>IF(D93="","-",+C133+1)</f>
        <v>2055</v>
      </c>
      <c r="D134" s="347">
        <f>IF(F133+SUM(E$99:E133)=D$92,F133,D$92-SUM(E$99:E133))</f>
        <v>306549</v>
      </c>
      <c r="E134" s="484">
        <f t="shared" si="16"/>
        <v>61405</v>
      </c>
      <c r="F134" s="485">
        <f t="shared" si="17"/>
        <v>245144</v>
      </c>
      <c r="G134" s="485">
        <f t="shared" si="18"/>
        <v>275846.5</v>
      </c>
      <c r="H134" s="486">
        <f t="shared" si="19"/>
        <v>91798.499156462931</v>
      </c>
      <c r="I134" s="542">
        <f t="shared" si="20"/>
        <v>91798.499156462931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5"/>
        <v/>
      </c>
      <c r="C135" s="472">
        <f>IF(D93="","-",+C134+1)</f>
        <v>2056</v>
      </c>
      <c r="D135" s="347">
        <f>IF(F134+SUM(E$99:E134)=D$92,F134,D$92-SUM(E$99:E134))</f>
        <v>245144</v>
      </c>
      <c r="E135" s="484">
        <f t="shared" si="16"/>
        <v>61405</v>
      </c>
      <c r="F135" s="485">
        <f t="shared" si="17"/>
        <v>183739</v>
      </c>
      <c r="G135" s="485">
        <f t="shared" si="18"/>
        <v>214441.5</v>
      </c>
      <c r="H135" s="486">
        <f t="shared" si="19"/>
        <v>85032.73335663366</v>
      </c>
      <c r="I135" s="542">
        <f t="shared" si="20"/>
        <v>85032.73335663366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5"/>
        <v/>
      </c>
      <c r="C136" s="472">
        <f>IF(D93="","-",+C135+1)</f>
        <v>2057</v>
      </c>
      <c r="D136" s="347">
        <f>IF(F135+SUM(E$99:E135)=D$92,F135,D$92-SUM(E$99:E135))</f>
        <v>183739</v>
      </c>
      <c r="E136" s="484">
        <f t="shared" si="16"/>
        <v>61405</v>
      </c>
      <c r="F136" s="485">
        <f t="shared" si="17"/>
        <v>122334</v>
      </c>
      <c r="G136" s="485">
        <f t="shared" si="18"/>
        <v>153036.5</v>
      </c>
      <c r="H136" s="486">
        <f t="shared" si="19"/>
        <v>78266.967556804375</v>
      </c>
      <c r="I136" s="542">
        <f t="shared" si="20"/>
        <v>78266.967556804375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5"/>
        <v/>
      </c>
      <c r="C137" s="472">
        <f>IF(D93="","-",+C136+1)</f>
        <v>2058</v>
      </c>
      <c r="D137" s="347">
        <f>IF(F136+SUM(E$99:E136)=D$92,F136,D$92-SUM(E$99:E136))</f>
        <v>122334</v>
      </c>
      <c r="E137" s="484">
        <f t="shared" si="16"/>
        <v>61405</v>
      </c>
      <c r="F137" s="485">
        <f t="shared" si="17"/>
        <v>60929</v>
      </c>
      <c r="G137" s="485">
        <f t="shared" si="18"/>
        <v>91631.5</v>
      </c>
      <c r="H137" s="486">
        <f t="shared" si="19"/>
        <v>71501.201756975104</v>
      </c>
      <c r="I137" s="542">
        <f t="shared" si="20"/>
        <v>71501.201756975104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5"/>
        <v/>
      </c>
      <c r="C138" s="472">
        <f>IF(D93="","-",+C137+1)</f>
        <v>2059</v>
      </c>
      <c r="D138" s="347">
        <f>IF(F137+SUM(E$99:E137)=D$92,F137,D$92-SUM(E$99:E137))</f>
        <v>60929</v>
      </c>
      <c r="E138" s="484">
        <f t="shared" si="16"/>
        <v>60929</v>
      </c>
      <c r="F138" s="485">
        <f t="shared" si="17"/>
        <v>0</v>
      </c>
      <c r="G138" s="485">
        <f t="shared" si="18"/>
        <v>30464.5</v>
      </c>
      <c r="H138" s="486">
        <f t="shared" si="19"/>
        <v>64285.659428530234</v>
      </c>
      <c r="I138" s="542">
        <f t="shared" si="20"/>
        <v>64285.659428530234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5"/>
        <v/>
      </c>
      <c r="C139" s="472">
        <f>IF(D93="","-",+C138+1)</f>
        <v>2060</v>
      </c>
      <c r="D139" s="347">
        <f>IF(F138+SUM(E$99:E138)=D$92,F138,D$92-SUM(E$99:E138))</f>
        <v>0</v>
      </c>
      <c r="E139" s="484">
        <f t="shared" si="16"/>
        <v>0</v>
      </c>
      <c r="F139" s="485">
        <f t="shared" si="17"/>
        <v>0</v>
      </c>
      <c r="G139" s="485">
        <f t="shared" si="18"/>
        <v>0</v>
      </c>
      <c r="H139" s="486">
        <f t="shared" si="19"/>
        <v>0</v>
      </c>
      <c r="I139" s="542">
        <f t="shared" si="20"/>
        <v>0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5"/>
        <v/>
      </c>
      <c r="C140" s="472">
        <f>IF(D93="","-",+C139+1)</f>
        <v>2061</v>
      </c>
      <c r="D140" s="347">
        <f>IF(F139+SUM(E$99:E139)=D$92,F139,D$92-SUM(E$99:E139))</f>
        <v>0</v>
      </c>
      <c r="E140" s="484">
        <f t="shared" si="16"/>
        <v>0</v>
      </c>
      <c r="F140" s="485">
        <f t="shared" si="17"/>
        <v>0</v>
      </c>
      <c r="G140" s="485">
        <f t="shared" si="18"/>
        <v>0</v>
      </c>
      <c r="H140" s="486">
        <f t="shared" si="19"/>
        <v>0</v>
      </c>
      <c r="I140" s="542">
        <f t="shared" si="20"/>
        <v>0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5"/>
        <v/>
      </c>
      <c r="C141" s="472">
        <f>IF(D93="","-",+C140+1)</f>
        <v>2062</v>
      </c>
      <c r="D141" s="347">
        <f>IF(F140+SUM(E$99:E140)=D$92,F140,D$92-SUM(E$99:E140))</f>
        <v>0</v>
      </c>
      <c r="E141" s="484">
        <f t="shared" si="16"/>
        <v>0</v>
      </c>
      <c r="F141" s="485">
        <f t="shared" si="17"/>
        <v>0</v>
      </c>
      <c r="G141" s="485">
        <f t="shared" si="18"/>
        <v>0</v>
      </c>
      <c r="H141" s="486">
        <f t="shared" si="19"/>
        <v>0</v>
      </c>
      <c r="I141" s="542">
        <f t="shared" si="20"/>
        <v>0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5"/>
        <v/>
      </c>
      <c r="C142" s="472">
        <f>IF(D93="","-",+C141+1)</f>
        <v>2063</v>
      </c>
      <c r="D142" s="347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486">
        <f t="shared" si="19"/>
        <v>0</v>
      </c>
      <c r="I142" s="542">
        <f t="shared" si="20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5"/>
        <v/>
      </c>
      <c r="C143" s="472">
        <f>IF(D93="","-",+C142+1)</f>
        <v>2064</v>
      </c>
      <c r="D143" s="347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486">
        <f t="shared" si="19"/>
        <v>0</v>
      </c>
      <c r="I143" s="542">
        <f t="shared" si="20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5"/>
        <v/>
      </c>
      <c r="C144" s="472">
        <f>IF(D93="","-",+C143+1)</f>
        <v>2065</v>
      </c>
      <c r="D144" s="347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486">
        <f t="shared" si="19"/>
        <v>0</v>
      </c>
      <c r="I144" s="542">
        <f t="shared" si="20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5"/>
        <v/>
      </c>
      <c r="C145" s="472">
        <f>IF(D93="","-",+C144+1)</f>
        <v>2066</v>
      </c>
      <c r="D145" s="347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486">
        <f t="shared" si="19"/>
        <v>0</v>
      </c>
      <c r="I145" s="542">
        <f t="shared" si="20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5"/>
        <v/>
      </c>
      <c r="C146" s="472">
        <f>IF(D93="","-",+C145+1)</f>
        <v>2067</v>
      </c>
      <c r="D146" s="347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486">
        <f t="shared" si="19"/>
        <v>0</v>
      </c>
      <c r="I146" s="542">
        <f t="shared" si="20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5"/>
        <v/>
      </c>
      <c r="C147" s="472">
        <f>IF(D93="","-",+C146+1)</f>
        <v>2068</v>
      </c>
      <c r="D147" s="347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486">
        <f t="shared" si="19"/>
        <v>0</v>
      </c>
      <c r="I147" s="542">
        <f t="shared" si="20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5"/>
        <v/>
      </c>
      <c r="C148" s="472">
        <f>IF(D93="","-",+C147+1)</f>
        <v>2069</v>
      </c>
      <c r="D148" s="347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486">
        <f t="shared" si="19"/>
        <v>0</v>
      </c>
      <c r="I148" s="542">
        <f t="shared" si="20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5"/>
        <v/>
      </c>
      <c r="C149" s="472">
        <f>IF(D93="","-",+C148+1)</f>
        <v>2070</v>
      </c>
      <c r="D149" s="347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486">
        <f t="shared" si="19"/>
        <v>0</v>
      </c>
      <c r="I149" s="542">
        <f t="shared" si="20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5"/>
        <v/>
      </c>
      <c r="C150" s="472">
        <f>IF(D93="","-",+C149+1)</f>
        <v>2071</v>
      </c>
      <c r="D150" s="347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486">
        <f t="shared" si="19"/>
        <v>0</v>
      </c>
      <c r="I150" s="542">
        <f t="shared" si="20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5"/>
        <v/>
      </c>
      <c r="C151" s="472">
        <f>IF(D93="","-",+C150+1)</f>
        <v>2072</v>
      </c>
      <c r="D151" s="347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486">
        <f t="shared" si="19"/>
        <v>0</v>
      </c>
      <c r="I151" s="542">
        <f t="shared" si="20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5"/>
        <v/>
      </c>
      <c r="C152" s="472">
        <f>IF(D93="","-",+C151+1)</f>
        <v>2073</v>
      </c>
      <c r="D152" s="347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486">
        <f t="shared" si="19"/>
        <v>0</v>
      </c>
      <c r="I152" s="542">
        <f t="shared" si="20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5"/>
        <v/>
      </c>
      <c r="C153" s="472">
        <f>IF(D93="","-",+C152+1)</f>
        <v>2074</v>
      </c>
      <c r="D153" s="347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486">
        <f t="shared" si="19"/>
        <v>0</v>
      </c>
      <c r="I153" s="542">
        <f t="shared" si="20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5"/>
        <v/>
      </c>
      <c r="C154" s="489">
        <f>IF(D93="","-",+C153+1)</f>
        <v>2075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2394794</v>
      </c>
      <c r="F155" s="348"/>
      <c r="G155" s="348"/>
      <c r="H155" s="348">
        <f>SUM(H99:H154)</f>
        <v>7708708.7357689636</v>
      </c>
      <c r="I155" s="348">
        <f>SUM(I99:I154)</f>
        <v>7708708.7357689636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2"/>
  <sheetViews>
    <sheetView zoomScale="80" zoomScaleNormal="80" workbookViewId="0">
      <selection activeCell="D92" sqref="D92"/>
    </sheetView>
  </sheetViews>
  <sheetFormatPr defaultColWidth="8.7109375" defaultRowHeight="12.75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635"/>
      <c r="C1" s="635"/>
      <c r="D1" s="636"/>
      <c r="E1" s="635"/>
      <c r="F1" s="637"/>
      <c r="G1" s="635"/>
      <c r="H1" s="638"/>
      <c r="K1" s="19"/>
      <c r="L1" s="19"/>
      <c r="M1" s="19"/>
      <c r="P1" s="639" t="s">
        <v>364</v>
      </c>
    </row>
    <row r="2" spans="1:16" ht="18">
      <c r="B2" s="635"/>
      <c r="C2" s="635"/>
      <c r="D2" s="636"/>
      <c r="E2" s="635"/>
      <c r="F2" s="635"/>
      <c r="G2" s="635"/>
      <c r="H2" s="638"/>
      <c r="I2" s="635"/>
      <c r="J2" s="635"/>
      <c r="K2" s="635"/>
      <c r="L2" s="635"/>
      <c r="M2" s="635"/>
      <c r="N2" s="635"/>
      <c r="P2" s="117" t="s">
        <v>150</v>
      </c>
    </row>
    <row r="3" spans="1:16" ht="18.75">
      <c r="B3" s="640" t="s">
        <v>42</v>
      </c>
      <c r="C3" s="641" t="s">
        <v>43</v>
      </c>
      <c r="D3" s="636"/>
      <c r="E3" s="635"/>
      <c r="F3" s="635"/>
      <c r="G3" s="635"/>
      <c r="H3" s="638"/>
      <c r="I3" s="638"/>
      <c r="J3" s="642"/>
      <c r="K3" s="638"/>
      <c r="L3" s="638"/>
      <c r="M3" s="638"/>
      <c r="N3" s="638"/>
      <c r="O3" s="635"/>
      <c r="P3" s="108">
        <v>1</v>
      </c>
    </row>
    <row r="4" spans="1:16" ht="15.75" thickBot="1">
      <c r="C4" s="643"/>
      <c r="D4" s="636"/>
      <c r="E4" s="635"/>
      <c r="F4" s="635"/>
      <c r="G4" s="635"/>
      <c r="H4" s="638"/>
      <c r="I4" s="638"/>
      <c r="J4" s="642"/>
      <c r="K4" s="638"/>
      <c r="L4" s="638"/>
      <c r="M4" s="638"/>
      <c r="N4" s="638"/>
      <c r="O4" s="635"/>
      <c r="P4" s="635"/>
    </row>
    <row r="5" spans="1:16" ht="15">
      <c r="C5" s="21" t="s">
        <v>44</v>
      </c>
      <c r="D5" s="636"/>
      <c r="E5" s="635"/>
      <c r="F5" s="635"/>
      <c r="G5" s="421"/>
      <c r="H5" s="635" t="s">
        <v>45</v>
      </c>
      <c r="I5" s="635"/>
      <c r="J5" s="635"/>
      <c r="K5" s="23" t="s">
        <v>281</v>
      </c>
      <c r="L5" s="24"/>
      <c r="M5" s="644"/>
      <c r="N5" s="425">
        <f>VLOOKUP(I10,C17:I72,5)</f>
        <v>98065.578092049604</v>
      </c>
      <c r="P5" s="635"/>
    </row>
    <row r="6" spans="1:16" ht="15.75">
      <c r="C6" s="8"/>
      <c r="D6" s="636"/>
      <c r="E6" s="635"/>
      <c r="F6" s="635"/>
      <c r="G6" s="635"/>
      <c r="H6" s="426"/>
      <c r="I6" s="426"/>
      <c r="J6" s="427"/>
      <c r="K6" s="29" t="s">
        <v>282</v>
      </c>
      <c r="L6" s="429"/>
      <c r="M6" s="635"/>
      <c r="N6" s="430">
        <f>VLOOKUP(I10,C17:I72,6)</f>
        <v>98065.578092049604</v>
      </c>
      <c r="O6" s="635"/>
      <c r="P6" s="635"/>
    </row>
    <row r="7" spans="1:16" ht="13.5" thickBot="1">
      <c r="C7" s="645" t="s">
        <v>46</v>
      </c>
      <c r="D7" s="617" t="s">
        <v>346</v>
      </c>
      <c r="E7" s="635"/>
      <c r="F7" s="635"/>
      <c r="G7" s="635"/>
      <c r="H7" s="638"/>
      <c r="I7" s="638"/>
      <c r="J7" s="642"/>
      <c r="K7" s="433" t="s">
        <v>47</v>
      </c>
      <c r="L7" s="646"/>
      <c r="M7" s="646"/>
      <c r="N7" s="647">
        <f>+N6-N5</f>
        <v>0</v>
      </c>
      <c r="O7" s="635"/>
      <c r="P7" s="635"/>
    </row>
    <row r="8" spans="1:16" ht="13.5" thickBot="1">
      <c r="C8" s="648"/>
      <c r="D8" s="9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35"/>
    </row>
    <row r="9" spans="1:16" ht="13.5" thickBot="1">
      <c r="C9" s="650" t="s">
        <v>48</v>
      </c>
      <c r="D9" s="106" t="s">
        <v>347</v>
      </c>
      <c r="E9" s="651" t="s">
        <v>348</v>
      </c>
      <c r="F9" s="652"/>
      <c r="G9" s="652"/>
      <c r="H9" s="652"/>
      <c r="I9" s="653"/>
      <c r="J9" s="654"/>
      <c r="P9" s="635"/>
    </row>
    <row r="10" spans="1:16">
      <c r="C10" s="655" t="s">
        <v>226</v>
      </c>
      <c r="D10" s="447">
        <v>31450.100000000006</v>
      </c>
      <c r="E10" s="635" t="s">
        <v>51</v>
      </c>
      <c r="G10" s="636"/>
      <c r="H10" s="636"/>
      <c r="I10" s="656">
        <v>2022</v>
      </c>
      <c r="J10" s="654"/>
      <c r="K10" s="642" t="s">
        <v>52</v>
      </c>
      <c r="O10" s="635"/>
      <c r="P10" s="635"/>
    </row>
    <row r="11" spans="1:16">
      <c r="C11" s="657" t="s">
        <v>53</v>
      </c>
      <c r="D11" s="47">
        <v>2022</v>
      </c>
      <c r="E11" s="657" t="s">
        <v>54</v>
      </c>
      <c r="F11" s="636"/>
      <c r="I11" s="658">
        <v>0</v>
      </c>
      <c r="J11" s="65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5"/>
      <c r="P11" s="635"/>
    </row>
    <row r="12" spans="1:16">
      <c r="C12" s="657" t="s">
        <v>55</v>
      </c>
      <c r="D12" s="447">
        <v>5</v>
      </c>
      <c r="E12" s="657" t="s">
        <v>56</v>
      </c>
      <c r="F12" s="636"/>
      <c r="I12" s="660">
        <v>0.10781124580725182</v>
      </c>
      <c r="J12" s="637"/>
      <c r="K12" t="s">
        <v>57</v>
      </c>
      <c r="O12" s="635"/>
      <c r="P12" s="635"/>
    </row>
    <row r="13" spans="1:16">
      <c r="C13" s="657" t="s">
        <v>58</v>
      </c>
      <c r="D13" s="658">
        <v>42</v>
      </c>
      <c r="E13" s="657" t="s">
        <v>59</v>
      </c>
      <c r="F13" s="636"/>
      <c r="I13" s="660">
        <v>0.10781124580725182</v>
      </c>
      <c r="J13" s="637"/>
      <c r="K13" s="642" t="s">
        <v>60</v>
      </c>
      <c r="L13" s="637"/>
      <c r="M13" s="637"/>
      <c r="N13" s="637"/>
      <c r="O13" s="635"/>
      <c r="P13" s="635"/>
    </row>
    <row r="14" spans="1:16" ht="13.5" thickBot="1">
      <c r="C14" s="657" t="s">
        <v>61</v>
      </c>
      <c r="D14" s="47" t="s">
        <v>62</v>
      </c>
      <c r="E14" s="635" t="s">
        <v>63</v>
      </c>
      <c r="F14" s="636"/>
      <c r="I14" s="661">
        <f>IF(D10=0,0,D10/D13)</f>
        <v>748.81190476190488</v>
      </c>
      <c r="J14" s="642"/>
      <c r="K14" s="642"/>
      <c r="L14" s="642"/>
      <c r="M14" s="642"/>
      <c r="N14" s="642"/>
      <c r="O14" s="635"/>
      <c r="P14" s="635"/>
    </row>
    <row r="15" spans="1:16" ht="38.25">
      <c r="C15" s="53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53" t="s">
        <v>67</v>
      </c>
      <c r="J15" s="55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635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5" t="s">
        <v>73</v>
      </c>
      <c r="H16" s="466" t="s">
        <v>74</v>
      </c>
      <c r="I16" s="57" t="s">
        <v>104</v>
      </c>
      <c r="J16" s="55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635"/>
    </row>
    <row r="17" spans="2:16">
      <c r="B17" s="9"/>
      <c r="C17" s="662">
        <f>IF(D11= "","-",D11)</f>
        <v>2022</v>
      </c>
      <c r="D17" s="621">
        <v>0</v>
      </c>
      <c r="E17" s="622">
        <v>20314.791666666668</v>
      </c>
      <c r="F17" s="623">
        <v>1442350.2083333333</v>
      </c>
      <c r="G17" s="622">
        <v>98065.578092049604</v>
      </c>
      <c r="H17" s="624">
        <v>98065.578092049604</v>
      </c>
      <c r="I17" s="666">
        <f>H17-G17</f>
        <v>0</v>
      </c>
      <c r="J17" s="666"/>
      <c r="K17" s="667">
        <f>+G17</f>
        <v>98065.578092049604</v>
      </c>
      <c r="L17" s="668">
        <f t="shared" ref="L17:L72" si="0">IF(K17&lt;&gt;0,+G17-K17,0)</f>
        <v>0</v>
      </c>
      <c r="M17" s="667">
        <f>+H17</f>
        <v>98065.578092049604</v>
      </c>
      <c r="N17" s="668">
        <f t="shared" ref="N17:N72" si="1">IF(M17&lt;&gt;0,+H17-M17,0)</f>
        <v>0</v>
      </c>
      <c r="O17" s="669">
        <f t="shared" ref="O17:O72" si="2">+N17-L17</f>
        <v>0</v>
      </c>
      <c r="P17" s="635"/>
    </row>
    <row r="18" spans="2:16">
      <c r="B18" s="9" t="str">
        <f>IF(D18=F17,"","IU")</f>
        <v>IU</v>
      </c>
      <c r="C18" s="662">
        <f>IF(D11="","-",+C17+1)</f>
        <v>2023</v>
      </c>
      <c r="D18" s="664">
        <f>IF(F17+SUM(E$17:E17)=D$10,F17,D$10-SUM(E$17:E17))</f>
        <v>11135.308333333338</v>
      </c>
      <c r="E18" s="69">
        <f>IF(+I$14&lt;F17,I$14,D18)</f>
        <v>748.81190476190488</v>
      </c>
      <c r="F18" s="664">
        <f>+D18-E18</f>
        <v>10386.496428571432</v>
      </c>
      <c r="G18" s="670">
        <f>(D18+F18)/2*I$12+E18</f>
        <v>1908.9581964626041</v>
      </c>
      <c r="H18" s="665">
        <f>+(D18+F18)/2*I$13+E18</f>
        <v>1908.9581964626041</v>
      </c>
      <c r="I18" s="666">
        <f>H18-G18</f>
        <v>0</v>
      </c>
      <c r="J18" s="666"/>
      <c r="K18" s="132"/>
      <c r="L18" s="669">
        <f t="shared" si="0"/>
        <v>0</v>
      </c>
      <c r="M18" s="132"/>
      <c r="N18" s="669">
        <f t="shared" si="1"/>
        <v>0</v>
      </c>
      <c r="O18" s="669">
        <f t="shared" si="2"/>
        <v>0</v>
      </c>
      <c r="P18" s="635"/>
    </row>
    <row r="19" spans="2:16">
      <c r="B19" s="9" t="str">
        <f>IF(D19=F18,"","IU")</f>
        <v/>
      </c>
      <c r="C19" s="662">
        <f>IF(D11="","-",+C18+1)</f>
        <v>2024</v>
      </c>
      <c r="D19" s="664">
        <f>IF(F18+SUM(E$17:E18)=D$10,F18,D$10-SUM(E$17:E18))</f>
        <v>10386.496428571432</v>
      </c>
      <c r="E19" s="69">
        <f t="shared" ref="E19:E71" si="3">IF(+I$14&lt;F18,I$14,D19)</f>
        <v>748.81190476190488</v>
      </c>
      <c r="F19" s="664">
        <f t="shared" ref="F19:F71" si="4">+D19-E19</f>
        <v>9637.6845238095266</v>
      </c>
      <c r="G19" s="670">
        <f t="shared" ref="G19:G71" si="5">(D19+F19)/2*I$12+E19</f>
        <v>1828.2278521349217</v>
      </c>
      <c r="H19" s="665">
        <f t="shared" ref="H19:H71" si="6">+(D19+F19)/2*I$13+E19</f>
        <v>1828.2278521349217</v>
      </c>
      <c r="I19" s="666">
        <f t="shared" ref="I19:I71" si="7">H19-G19</f>
        <v>0</v>
      </c>
      <c r="J19" s="666"/>
      <c r="K19" s="132"/>
      <c r="L19" s="669">
        <f t="shared" si="0"/>
        <v>0</v>
      </c>
      <c r="M19" s="132"/>
      <c r="N19" s="669">
        <f t="shared" si="1"/>
        <v>0</v>
      </c>
      <c r="O19" s="669">
        <f t="shared" si="2"/>
        <v>0</v>
      </c>
      <c r="P19" s="635"/>
    </row>
    <row r="20" spans="2:16">
      <c r="B20" s="9" t="str">
        <f t="shared" ref="B20:B72" si="8">IF(D20=F19,"","IU")</f>
        <v/>
      </c>
      <c r="C20" s="662">
        <f>IF(D11="","-",+C19+1)</f>
        <v>2025</v>
      </c>
      <c r="D20" s="664">
        <f>IF(F19+SUM(E$17:E19)=D$10,F19,D$10-SUM(E$17:E19))</f>
        <v>9637.6845238095266</v>
      </c>
      <c r="E20" s="69">
        <f t="shared" si="3"/>
        <v>748.81190476190488</v>
      </c>
      <c r="F20" s="664">
        <f t="shared" si="4"/>
        <v>8888.8726190476209</v>
      </c>
      <c r="G20" s="670">
        <f t="shared" si="5"/>
        <v>1747.4975078072393</v>
      </c>
      <c r="H20" s="665">
        <f t="shared" si="6"/>
        <v>1747.4975078072393</v>
      </c>
      <c r="I20" s="666">
        <f t="shared" si="7"/>
        <v>0</v>
      </c>
      <c r="J20" s="666"/>
      <c r="K20" s="132"/>
      <c r="L20" s="669">
        <f t="shared" si="0"/>
        <v>0</v>
      </c>
      <c r="M20" s="132"/>
      <c r="N20" s="669">
        <f t="shared" si="1"/>
        <v>0</v>
      </c>
      <c r="O20" s="669">
        <f t="shared" si="2"/>
        <v>0</v>
      </c>
      <c r="P20" s="635"/>
    </row>
    <row r="21" spans="2:16">
      <c r="B21" s="9" t="str">
        <f t="shared" si="8"/>
        <v/>
      </c>
      <c r="C21" s="662">
        <f>IF(D11="","-",+C20+1)</f>
        <v>2026</v>
      </c>
      <c r="D21" s="664">
        <f>IF(F20+SUM(E$17:E20)=D$10,F20,D$10-SUM(E$17:E20))</f>
        <v>8888.8726190476209</v>
      </c>
      <c r="E21" s="69">
        <f t="shared" si="3"/>
        <v>748.81190476190488</v>
      </c>
      <c r="F21" s="664">
        <f t="shared" si="4"/>
        <v>8140.0607142857161</v>
      </c>
      <c r="G21" s="670">
        <f t="shared" si="5"/>
        <v>1666.7671634795572</v>
      </c>
      <c r="H21" s="665">
        <f t="shared" si="6"/>
        <v>1666.7671634795572</v>
      </c>
      <c r="I21" s="666">
        <f t="shared" si="7"/>
        <v>0</v>
      </c>
      <c r="J21" s="666"/>
      <c r="K21" s="132"/>
      <c r="L21" s="669">
        <f t="shared" si="0"/>
        <v>0</v>
      </c>
      <c r="M21" s="132"/>
      <c r="N21" s="669">
        <f t="shared" si="1"/>
        <v>0</v>
      </c>
      <c r="O21" s="669">
        <f t="shared" si="2"/>
        <v>0</v>
      </c>
      <c r="P21" s="635"/>
    </row>
    <row r="22" spans="2:16">
      <c r="B22" s="9" t="str">
        <f t="shared" si="8"/>
        <v/>
      </c>
      <c r="C22" s="662">
        <f>IF(D11="","-",+C21+1)</f>
        <v>2027</v>
      </c>
      <c r="D22" s="664">
        <f>IF(F21+SUM(E$17:E21)=D$10,F21,D$10-SUM(E$17:E21))</f>
        <v>8140.0607142857161</v>
      </c>
      <c r="E22" s="69">
        <f t="shared" si="3"/>
        <v>748.81190476190488</v>
      </c>
      <c r="F22" s="664">
        <f t="shared" si="4"/>
        <v>7391.2488095238114</v>
      </c>
      <c r="G22" s="670">
        <f t="shared" si="5"/>
        <v>1586.0368191518751</v>
      </c>
      <c r="H22" s="665">
        <f t="shared" si="6"/>
        <v>1586.0368191518751</v>
      </c>
      <c r="I22" s="666">
        <f t="shared" si="7"/>
        <v>0</v>
      </c>
      <c r="J22" s="666"/>
      <c r="K22" s="132"/>
      <c r="L22" s="669">
        <f t="shared" si="0"/>
        <v>0</v>
      </c>
      <c r="M22" s="132"/>
      <c r="N22" s="669">
        <f t="shared" si="1"/>
        <v>0</v>
      </c>
      <c r="O22" s="669">
        <f t="shared" si="2"/>
        <v>0</v>
      </c>
      <c r="P22" s="635"/>
    </row>
    <row r="23" spans="2:16">
      <c r="B23" s="9" t="str">
        <f t="shared" si="8"/>
        <v/>
      </c>
      <c r="C23" s="662">
        <f>IF(D11="","-",+C22+1)</f>
        <v>2028</v>
      </c>
      <c r="D23" s="664">
        <f>IF(F22+SUM(E$17:E22)=D$10,F22,D$10-SUM(E$17:E22))</f>
        <v>7391.2488095238114</v>
      </c>
      <c r="E23" s="69">
        <f t="shared" si="3"/>
        <v>748.81190476190488</v>
      </c>
      <c r="F23" s="664">
        <f t="shared" si="4"/>
        <v>6642.4369047619066</v>
      </c>
      <c r="G23" s="670">
        <f t="shared" si="5"/>
        <v>1505.3064748241927</v>
      </c>
      <c r="H23" s="665">
        <f t="shared" si="6"/>
        <v>1505.3064748241927</v>
      </c>
      <c r="I23" s="666">
        <f t="shared" si="7"/>
        <v>0</v>
      </c>
      <c r="J23" s="666"/>
      <c r="K23" s="132"/>
      <c r="L23" s="669">
        <f t="shared" si="0"/>
        <v>0</v>
      </c>
      <c r="M23" s="132"/>
      <c r="N23" s="669">
        <f t="shared" si="1"/>
        <v>0</v>
      </c>
      <c r="O23" s="669">
        <f t="shared" si="2"/>
        <v>0</v>
      </c>
      <c r="P23" s="635"/>
    </row>
    <row r="24" spans="2:16">
      <c r="B24" s="9" t="str">
        <f t="shared" si="8"/>
        <v/>
      </c>
      <c r="C24" s="662">
        <f>IF(D11="","-",+C23+1)</f>
        <v>2029</v>
      </c>
      <c r="D24" s="664">
        <f>IF(F23+SUM(E$17:E23)=D$10,F23,D$10-SUM(E$17:E23))</f>
        <v>6642.4369047619066</v>
      </c>
      <c r="E24" s="69">
        <f t="shared" si="3"/>
        <v>748.81190476190488</v>
      </c>
      <c r="F24" s="664">
        <f t="shared" si="4"/>
        <v>5893.6250000000018</v>
      </c>
      <c r="G24" s="670">
        <f t="shared" si="5"/>
        <v>1424.5761304965106</v>
      </c>
      <c r="H24" s="665">
        <f t="shared" si="6"/>
        <v>1424.5761304965106</v>
      </c>
      <c r="I24" s="666">
        <f t="shared" si="7"/>
        <v>0</v>
      </c>
      <c r="J24" s="666"/>
      <c r="K24" s="132"/>
      <c r="L24" s="669">
        <f t="shared" si="0"/>
        <v>0</v>
      </c>
      <c r="M24" s="132"/>
      <c r="N24" s="669">
        <f t="shared" si="1"/>
        <v>0</v>
      </c>
      <c r="O24" s="669">
        <f t="shared" si="2"/>
        <v>0</v>
      </c>
      <c r="P24" s="635"/>
    </row>
    <row r="25" spans="2:16">
      <c r="B25" s="9" t="str">
        <f t="shared" si="8"/>
        <v/>
      </c>
      <c r="C25" s="662">
        <f>IF(D11="","-",+C24+1)</f>
        <v>2030</v>
      </c>
      <c r="D25" s="664">
        <f>IF(F24+SUM(E$17:E24)=D$10,F24,D$10-SUM(E$17:E24))</f>
        <v>5893.6250000000018</v>
      </c>
      <c r="E25" s="69">
        <f t="shared" si="3"/>
        <v>748.81190476190488</v>
      </c>
      <c r="F25" s="664">
        <f t="shared" si="4"/>
        <v>5144.813095238097</v>
      </c>
      <c r="G25" s="670">
        <f t="shared" si="5"/>
        <v>1343.8457861688285</v>
      </c>
      <c r="H25" s="665">
        <f t="shared" si="6"/>
        <v>1343.8457861688285</v>
      </c>
      <c r="I25" s="666">
        <f t="shared" si="7"/>
        <v>0</v>
      </c>
      <c r="J25" s="666"/>
      <c r="K25" s="132"/>
      <c r="L25" s="669">
        <f t="shared" si="0"/>
        <v>0</v>
      </c>
      <c r="M25" s="132"/>
      <c r="N25" s="669">
        <f t="shared" si="1"/>
        <v>0</v>
      </c>
      <c r="O25" s="669">
        <f t="shared" si="2"/>
        <v>0</v>
      </c>
      <c r="P25" s="635"/>
    </row>
    <row r="26" spans="2:16">
      <c r="B26" s="9" t="str">
        <f t="shared" si="8"/>
        <v/>
      </c>
      <c r="C26" s="662">
        <f>IF(D11="","-",+C25+1)</f>
        <v>2031</v>
      </c>
      <c r="D26" s="664">
        <f>IF(F25+SUM(E$17:E25)=D$10,F25,D$10-SUM(E$17:E25))</f>
        <v>5144.813095238097</v>
      </c>
      <c r="E26" s="69">
        <f t="shared" si="3"/>
        <v>748.81190476190488</v>
      </c>
      <c r="F26" s="664">
        <f t="shared" si="4"/>
        <v>4396.0011904761923</v>
      </c>
      <c r="G26" s="670">
        <f t="shared" si="5"/>
        <v>1263.1154418411463</v>
      </c>
      <c r="H26" s="665">
        <f t="shared" si="6"/>
        <v>1263.1154418411463</v>
      </c>
      <c r="I26" s="666">
        <f t="shared" si="7"/>
        <v>0</v>
      </c>
      <c r="J26" s="666"/>
      <c r="K26" s="132"/>
      <c r="L26" s="669">
        <f t="shared" si="0"/>
        <v>0</v>
      </c>
      <c r="M26" s="132"/>
      <c r="N26" s="669">
        <f t="shared" si="1"/>
        <v>0</v>
      </c>
      <c r="O26" s="669">
        <f t="shared" si="2"/>
        <v>0</v>
      </c>
      <c r="P26" s="635"/>
    </row>
    <row r="27" spans="2:16">
      <c r="B27" s="9" t="str">
        <f t="shared" si="8"/>
        <v/>
      </c>
      <c r="C27" s="662">
        <f>IF(D11="","-",+C26+1)</f>
        <v>2032</v>
      </c>
      <c r="D27" s="664">
        <f>IF(F26+SUM(E$17:E26)=D$10,F26,D$10-SUM(E$17:E26))</f>
        <v>4396.0011904761923</v>
      </c>
      <c r="E27" s="69">
        <f t="shared" si="3"/>
        <v>748.81190476190488</v>
      </c>
      <c r="F27" s="664">
        <f t="shared" si="4"/>
        <v>3647.1892857142875</v>
      </c>
      <c r="G27" s="670">
        <f t="shared" si="5"/>
        <v>1182.3850975134642</v>
      </c>
      <c r="H27" s="665">
        <f t="shared" si="6"/>
        <v>1182.3850975134642</v>
      </c>
      <c r="I27" s="666">
        <f t="shared" si="7"/>
        <v>0</v>
      </c>
      <c r="J27" s="666"/>
      <c r="K27" s="132"/>
      <c r="L27" s="669">
        <f t="shared" si="0"/>
        <v>0</v>
      </c>
      <c r="M27" s="132"/>
      <c r="N27" s="669">
        <f t="shared" si="1"/>
        <v>0</v>
      </c>
      <c r="O27" s="669">
        <f t="shared" si="2"/>
        <v>0</v>
      </c>
      <c r="P27" s="635"/>
    </row>
    <row r="28" spans="2:16">
      <c r="B28" s="9" t="str">
        <f t="shared" si="8"/>
        <v/>
      </c>
      <c r="C28" s="662">
        <f>IF(D11="","-",+C27+1)</f>
        <v>2033</v>
      </c>
      <c r="D28" s="664">
        <f>IF(F27+SUM(E$17:E27)=D$10,F27,D$10-SUM(E$17:E27))</f>
        <v>3647.1892857142875</v>
      </c>
      <c r="E28" s="69">
        <f t="shared" si="3"/>
        <v>748.81190476190488</v>
      </c>
      <c r="F28" s="664">
        <f t="shared" si="4"/>
        <v>2898.3773809523827</v>
      </c>
      <c r="G28" s="670">
        <f t="shared" si="5"/>
        <v>1101.6547531857821</v>
      </c>
      <c r="H28" s="665">
        <f t="shared" si="6"/>
        <v>1101.6547531857821</v>
      </c>
      <c r="I28" s="666">
        <f t="shared" si="7"/>
        <v>0</v>
      </c>
      <c r="J28" s="666"/>
      <c r="K28" s="132"/>
      <c r="L28" s="669">
        <f t="shared" si="0"/>
        <v>0</v>
      </c>
      <c r="M28" s="132"/>
      <c r="N28" s="669">
        <f t="shared" si="1"/>
        <v>0</v>
      </c>
      <c r="O28" s="669">
        <f t="shared" si="2"/>
        <v>0</v>
      </c>
      <c r="P28" s="635"/>
    </row>
    <row r="29" spans="2:16">
      <c r="B29" s="9" t="str">
        <f t="shared" si="8"/>
        <v/>
      </c>
      <c r="C29" s="662">
        <f>IF(D11="","-",+C28+1)</f>
        <v>2034</v>
      </c>
      <c r="D29" s="664">
        <f>IF(F28+SUM(E$17:E28)=D$10,F28,D$10-SUM(E$17:E28))</f>
        <v>2898.3773809523827</v>
      </c>
      <c r="E29" s="69">
        <f t="shared" si="3"/>
        <v>748.81190476190488</v>
      </c>
      <c r="F29" s="664">
        <f t="shared" si="4"/>
        <v>2149.565476190478</v>
      </c>
      <c r="G29" s="670">
        <f t="shared" si="5"/>
        <v>1020.9244088580999</v>
      </c>
      <c r="H29" s="665">
        <f t="shared" si="6"/>
        <v>1020.9244088580999</v>
      </c>
      <c r="I29" s="666">
        <f t="shared" si="7"/>
        <v>0</v>
      </c>
      <c r="J29" s="666"/>
      <c r="K29" s="132"/>
      <c r="L29" s="669">
        <f t="shared" si="0"/>
        <v>0</v>
      </c>
      <c r="M29" s="132"/>
      <c r="N29" s="669">
        <f t="shared" si="1"/>
        <v>0</v>
      </c>
      <c r="O29" s="669">
        <f t="shared" si="2"/>
        <v>0</v>
      </c>
      <c r="P29" s="635"/>
    </row>
    <row r="30" spans="2:16">
      <c r="B30" s="9" t="str">
        <f t="shared" si="8"/>
        <v/>
      </c>
      <c r="C30" s="662">
        <f>IF(D11="","-",+C29+1)</f>
        <v>2035</v>
      </c>
      <c r="D30" s="664">
        <f>IF(F29+SUM(E$17:E29)=D$10,F29,D$10-SUM(E$17:E29))</f>
        <v>2149.565476190478</v>
      </c>
      <c r="E30" s="69">
        <f t="shared" si="3"/>
        <v>748.81190476190488</v>
      </c>
      <c r="F30" s="664">
        <f t="shared" si="4"/>
        <v>1400.7535714285732</v>
      </c>
      <c r="G30" s="670">
        <f t="shared" si="5"/>
        <v>940.19406453041779</v>
      </c>
      <c r="H30" s="665">
        <f t="shared" si="6"/>
        <v>940.19406453041779</v>
      </c>
      <c r="I30" s="666">
        <f t="shared" si="7"/>
        <v>0</v>
      </c>
      <c r="J30" s="666"/>
      <c r="K30" s="132"/>
      <c r="L30" s="669">
        <f t="shared" si="0"/>
        <v>0</v>
      </c>
      <c r="M30" s="132"/>
      <c r="N30" s="669">
        <f t="shared" si="1"/>
        <v>0</v>
      </c>
      <c r="O30" s="669">
        <f t="shared" si="2"/>
        <v>0</v>
      </c>
      <c r="P30" s="635"/>
    </row>
    <row r="31" spans="2:16">
      <c r="B31" s="9" t="str">
        <f t="shared" si="8"/>
        <v/>
      </c>
      <c r="C31" s="662">
        <f>IF(D11="","-",+C30+1)</f>
        <v>2036</v>
      </c>
      <c r="D31" s="664">
        <f>IF(F30+SUM(E$17:E30)=D$10,F30,D$10-SUM(E$17:E30))</f>
        <v>1400.7535714285732</v>
      </c>
      <c r="E31" s="69">
        <f t="shared" si="3"/>
        <v>748.81190476190488</v>
      </c>
      <c r="F31" s="664">
        <f t="shared" si="4"/>
        <v>651.94166666666831</v>
      </c>
      <c r="G31" s="670">
        <f t="shared" si="5"/>
        <v>859.46372020273554</v>
      </c>
      <c r="H31" s="665">
        <f t="shared" si="6"/>
        <v>859.46372020273554</v>
      </c>
      <c r="I31" s="666">
        <f t="shared" si="7"/>
        <v>0</v>
      </c>
      <c r="J31" s="666"/>
      <c r="K31" s="132"/>
      <c r="L31" s="669">
        <f t="shared" si="0"/>
        <v>0</v>
      </c>
      <c r="M31" s="132"/>
      <c r="N31" s="669">
        <f t="shared" si="1"/>
        <v>0</v>
      </c>
      <c r="O31" s="669">
        <f t="shared" si="2"/>
        <v>0</v>
      </c>
      <c r="P31" s="635"/>
    </row>
    <row r="32" spans="2:16">
      <c r="B32" s="9" t="str">
        <f t="shared" si="8"/>
        <v/>
      </c>
      <c r="C32" s="662">
        <f>IF(D11="","-",+C31+1)</f>
        <v>2037</v>
      </c>
      <c r="D32" s="664">
        <f>IF(F31+SUM(E$17:E31)=D$10,F31,D$10-SUM(E$17:E31))</f>
        <v>651.94166666666831</v>
      </c>
      <c r="E32" s="69">
        <f t="shared" si="3"/>
        <v>651.94166666666831</v>
      </c>
      <c r="F32" s="664">
        <f t="shared" si="4"/>
        <v>0</v>
      </c>
      <c r="G32" s="670">
        <f t="shared" si="5"/>
        <v>687.08498830516317</v>
      </c>
      <c r="H32" s="665">
        <f t="shared" si="6"/>
        <v>687.08498830516317</v>
      </c>
      <c r="I32" s="666">
        <f t="shared" si="7"/>
        <v>0</v>
      </c>
      <c r="J32" s="666"/>
      <c r="K32" s="132"/>
      <c r="L32" s="669">
        <f t="shared" si="0"/>
        <v>0</v>
      </c>
      <c r="M32" s="132"/>
      <c r="N32" s="669">
        <f t="shared" si="1"/>
        <v>0</v>
      </c>
      <c r="O32" s="669">
        <f t="shared" si="2"/>
        <v>0</v>
      </c>
      <c r="P32" s="635"/>
    </row>
    <row r="33" spans="2:16">
      <c r="B33" s="9" t="str">
        <f t="shared" si="8"/>
        <v/>
      </c>
      <c r="C33" s="662">
        <f>IF(D11="","-",+C32+1)</f>
        <v>2038</v>
      </c>
      <c r="D33" s="664">
        <f>IF(F32+SUM(E$17:E32)=D$10,F32,D$10-SUM(E$17:E32))</f>
        <v>0</v>
      </c>
      <c r="E33" s="69">
        <f t="shared" si="3"/>
        <v>0</v>
      </c>
      <c r="F33" s="664">
        <f t="shared" si="4"/>
        <v>0</v>
      </c>
      <c r="G33" s="670">
        <f t="shared" si="5"/>
        <v>0</v>
      </c>
      <c r="H33" s="665">
        <f t="shared" si="6"/>
        <v>0</v>
      </c>
      <c r="I33" s="666">
        <f t="shared" si="7"/>
        <v>0</v>
      </c>
      <c r="J33" s="666"/>
      <c r="K33" s="132"/>
      <c r="L33" s="669">
        <f t="shared" si="0"/>
        <v>0</v>
      </c>
      <c r="M33" s="132"/>
      <c r="N33" s="669">
        <f t="shared" si="1"/>
        <v>0</v>
      </c>
      <c r="O33" s="669">
        <f t="shared" si="2"/>
        <v>0</v>
      </c>
      <c r="P33" s="635"/>
    </row>
    <row r="34" spans="2:16">
      <c r="B34" s="9" t="str">
        <f t="shared" si="8"/>
        <v/>
      </c>
      <c r="C34" s="662">
        <f>IF(D11="","-",+C33+1)</f>
        <v>2039</v>
      </c>
      <c r="D34" s="664">
        <f>IF(F33+SUM(E$17:E33)=D$10,F33,D$10-SUM(E$17:E33))</f>
        <v>0</v>
      </c>
      <c r="E34" s="69">
        <f t="shared" si="3"/>
        <v>0</v>
      </c>
      <c r="F34" s="664">
        <f t="shared" si="4"/>
        <v>0</v>
      </c>
      <c r="G34" s="670">
        <f t="shared" si="5"/>
        <v>0</v>
      </c>
      <c r="H34" s="665">
        <f t="shared" si="6"/>
        <v>0</v>
      </c>
      <c r="I34" s="666">
        <f t="shared" si="7"/>
        <v>0</v>
      </c>
      <c r="J34" s="666"/>
      <c r="K34" s="132"/>
      <c r="L34" s="669">
        <f t="shared" si="0"/>
        <v>0</v>
      </c>
      <c r="M34" s="132"/>
      <c r="N34" s="669">
        <f t="shared" si="1"/>
        <v>0</v>
      </c>
      <c r="O34" s="669">
        <f t="shared" si="2"/>
        <v>0</v>
      </c>
      <c r="P34" s="635"/>
    </row>
    <row r="35" spans="2:16">
      <c r="B35" s="9" t="str">
        <f t="shared" si="8"/>
        <v/>
      </c>
      <c r="C35" s="662">
        <f>IF(D11="","-",+C34+1)</f>
        <v>2040</v>
      </c>
      <c r="D35" s="664">
        <f>IF(F34+SUM(E$17:E34)=D$10,F34,D$10-SUM(E$17:E34))</f>
        <v>0</v>
      </c>
      <c r="E35" s="69">
        <f t="shared" si="3"/>
        <v>0</v>
      </c>
      <c r="F35" s="664">
        <f t="shared" si="4"/>
        <v>0</v>
      </c>
      <c r="G35" s="670">
        <f t="shared" si="5"/>
        <v>0</v>
      </c>
      <c r="H35" s="665">
        <f t="shared" si="6"/>
        <v>0</v>
      </c>
      <c r="I35" s="666">
        <f t="shared" si="7"/>
        <v>0</v>
      </c>
      <c r="J35" s="666"/>
      <c r="K35" s="132"/>
      <c r="L35" s="669">
        <f t="shared" si="0"/>
        <v>0</v>
      </c>
      <c r="M35" s="132"/>
      <c r="N35" s="669">
        <f t="shared" si="1"/>
        <v>0</v>
      </c>
      <c r="O35" s="669">
        <f t="shared" si="2"/>
        <v>0</v>
      </c>
      <c r="P35" s="635"/>
    </row>
    <row r="36" spans="2:16">
      <c r="B36" s="9" t="str">
        <f t="shared" si="8"/>
        <v/>
      </c>
      <c r="C36" s="662">
        <f>IF(D11="","-",+C35+1)</f>
        <v>2041</v>
      </c>
      <c r="D36" s="664">
        <f>IF(F35+SUM(E$17:E35)=D$10,F35,D$10-SUM(E$17:E35))</f>
        <v>0</v>
      </c>
      <c r="E36" s="69">
        <f t="shared" si="3"/>
        <v>0</v>
      </c>
      <c r="F36" s="664">
        <f t="shared" si="4"/>
        <v>0</v>
      </c>
      <c r="G36" s="670">
        <f t="shared" si="5"/>
        <v>0</v>
      </c>
      <c r="H36" s="665">
        <f t="shared" si="6"/>
        <v>0</v>
      </c>
      <c r="I36" s="666">
        <f t="shared" si="7"/>
        <v>0</v>
      </c>
      <c r="J36" s="666"/>
      <c r="K36" s="132"/>
      <c r="L36" s="669">
        <f t="shared" si="0"/>
        <v>0</v>
      </c>
      <c r="M36" s="132"/>
      <c r="N36" s="669">
        <f t="shared" si="1"/>
        <v>0</v>
      </c>
      <c r="O36" s="669">
        <f t="shared" si="2"/>
        <v>0</v>
      </c>
      <c r="P36" s="635"/>
    </row>
    <row r="37" spans="2:16">
      <c r="B37" s="9" t="str">
        <f t="shared" si="8"/>
        <v/>
      </c>
      <c r="C37" s="662">
        <f>IF(D11="","-",+C36+1)</f>
        <v>2042</v>
      </c>
      <c r="D37" s="664">
        <f>IF(F36+SUM(E$17:E36)=D$10,F36,D$10-SUM(E$17:E36))</f>
        <v>0</v>
      </c>
      <c r="E37" s="69">
        <f t="shared" si="3"/>
        <v>0</v>
      </c>
      <c r="F37" s="664">
        <f t="shared" si="4"/>
        <v>0</v>
      </c>
      <c r="G37" s="670">
        <f t="shared" si="5"/>
        <v>0</v>
      </c>
      <c r="H37" s="665">
        <f t="shared" si="6"/>
        <v>0</v>
      </c>
      <c r="I37" s="666">
        <f t="shared" si="7"/>
        <v>0</v>
      </c>
      <c r="J37" s="666"/>
      <c r="K37" s="132"/>
      <c r="L37" s="669">
        <f t="shared" si="0"/>
        <v>0</v>
      </c>
      <c r="M37" s="132"/>
      <c r="N37" s="669">
        <f t="shared" si="1"/>
        <v>0</v>
      </c>
      <c r="O37" s="669">
        <f t="shared" si="2"/>
        <v>0</v>
      </c>
      <c r="P37" s="635"/>
    </row>
    <row r="38" spans="2:16">
      <c r="B38" s="9" t="str">
        <f t="shared" si="8"/>
        <v/>
      </c>
      <c r="C38" s="662">
        <f>IF(D11="","-",+C37+1)</f>
        <v>2043</v>
      </c>
      <c r="D38" s="664">
        <f>IF(F37+SUM(E$17:E37)=D$10,F37,D$10-SUM(E$17:E37))</f>
        <v>0</v>
      </c>
      <c r="E38" s="69">
        <f t="shared" si="3"/>
        <v>0</v>
      </c>
      <c r="F38" s="664">
        <f t="shared" si="4"/>
        <v>0</v>
      </c>
      <c r="G38" s="670">
        <f t="shared" si="5"/>
        <v>0</v>
      </c>
      <c r="H38" s="665">
        <f t="shared" si="6"/>
        <v>0</v>
      </c>
      <c r="I38" s="666">
        <f t="shared" si="7"/>
        <v>0</v>
      </c>
      <c r="J38" s="666"/>
      <c r="K38" s="132"/>
      <c r="L38" s="669">
        <f t="shared" si="0"/>
        <v>0</v>
      </c>
      <c r="M38" s="132"/>
      <c r="N38" s="669">
        <f t="shared" si="1"/>
        <v>0</v>
      </c>
      <c r="O38" s="669">
        <f t="shared" si="2"/>
        <v>0</v>
      </c>
      <c r="P38" s="635"/>
    </row>
    <row r="39" spans="2:16">
      <c r="B39" s="9" t="str">
        <f t="shared" si="8"/>
        <v/>
      </c>
      <c r="C39" s="662">
        <f>IF(D11="","-",+C38+1)</f>
        <v>2044</v>
      </c>
      <c r="D39" s="664">
        <f>IF(F38+SUM(E$17:E38)=D$10,F38,D$10-SUM(E$17:E38))</f>
        <v>0</v>
      </c>
      <c r="E39" s="69">
        <f t="shared" si="3"/>
        <v>0</v>
      </c>
      <c r="F39" s="664">
        <f t="shared" si="4"/>
        <v>0</v>
      </c>
      <c r="G39" s="670">
        <f t="shared" si="5"/>
        <v>0</v>
      </c>
      <c r="H39" s="665">
        <f t="shared" si="6"/>
        <v>0</v>
      </c>
      <c r="I39" s="666">
        <f t="shared" si="7"/>
        <v>0</v>
      </c>
      <c r="J39" s="666"/>
      <c r="K39" s="132"/>
      <c r="L39" s="669">
        <f t="shared" si="0"/>
        <v>0</v>
      </c>
      <c r="M39" s="132"/>
      <c r="N39" s="669">
        <f t="shared" si="1"/>
        <v>0</v>
      </c>
      <c r="O39" s="669">
        <f t="shared" si="2"/>
        <v>0</v>
      </c>
      <c r="P39" s="635"/>
    </row>
    <row r="40" spans="2:16">
      <c r="B40" s="9" t="str">
        <f t="shared" si="8"/>
        <v/>
      </c>
      <c r="C40" s="662">
        <f>IF(D11="","-",+C39+1)</f>
        <v>2045</v>
      </c>
      <c r="D40" s="664">
        <f>IF(F39+SUM(E$17:E39)=D$10,F39,D$10-SUM(E$17:E39))</f>
        <v>0</v>
      </c>
      <c r="E40" s="69">
        <f t="shared" si="3"/>
        <v>0</v>
      </c>
      <c r="F40" s="664">
        <f t="shared" si="4"/>
        <v>0</v>
      </c>
      <c r="G40" s="670">
        <f t="shared" si="5"/>
        <v>0</v>
      </c>
      <c r="H40" s="665">
        <f t="shared" si="6"/>
        <v>0</v>
      </c>
      <c r="I40" s="666">
        <f t="shared" si="7"/>
        <v>0</v>
      </c>
      <c r="J40" s="666"/>
      <c r="K40" s="132"/>
      <c r="L40" s="669">
        <f t="shared" si="0"/>
        <v>0</v>
      </c>
      <c r="M40" s="132"/>
      <c r="N40" s="669">
        <f t="shared" si="1"/>
        <v>0</v>
      </c>
      <c r="O40" s="669">
        <f t="shared" si="2"/>
        <v>0</v>
      </c>
      <c r="P40" s="635"/>
    </row>
    <row r="41" spans="2:16">
      <c r="B41" s="9" t="str">
        <f t="shared" si="8"/>
        <v/>
      </c>
      <c r="C41" s="662">
        <f>IF(D11="","-",+C40+1)</f>
        <v>2046</v>
      </c>
      <c r="D41" s="664">
        <f>IF(F40+SUM(E$17:E40)=D$10,F40,D$10-SUM(E$17:E40))</f>
        <v>0</v>
      </c>
      <c r="E41" s="69">
        <f t="shared" si="3"/>
        <v>0</v>
      </c>
      <c r="F41" s="664">
        <f t="shared" si="4"/>
        <v>0</v>
      </c>
      <c r="G41" s="670">
        <f t="shared" si="5"/>
        <v>0</v>
      </c>
      <c r="H41" s="665">
        <f t="shared" si="6"/>
        <v>0</v>
      </c>
      <c r="I41" s="666">
        <f t="shared" si="7"/>
        <v>0</v>
      </c>
      <c r="J41" s="666"/>
      <c r="K41" s="132"/>
      <c r="L41" s="669">
        <f t="shared" si="0"/>
        <v>0</v>
      </c>
      <c r="M41" s="132"/>
      <c r="N41" s="669">
        <f t="shared" si="1"/>
        <v>0</v>
      </c>
      <c r="O41" s="669">
        <f t="shared" si="2"/>
        <v>0</v>
      </c>
      <c r="P41" s="635"/>
    </row>
    <row r="42" spans="2:16">
      <c r="B42" s="9" t="str">
        <f t="shared" si="8"/>
        <v/>
      </c>
      <c r="C42" s="662">
        <f>IF(D11="","-",+C41+1)</f>
        <v>2047</v>
      </c>
      <c r="D42" s="664">
        <f>IF(F41+SUM(E$17:E41)=D$10,F41,D$10-SUM(E$17:E41))</f>
        <v>0</v>
      </c>
      <c r="E42" s="69">
        <f t="shared" si="3"/>
        <v>0</v>
      </c>
      <c r="F42" s="664">
        <f t="shared" si="4"/>
        <v>0</v>
      </c>
      <c r="G42" s="670">
        <f t="shared" si="5"/>
        <v>0</v>
      </c>
      <c r="H42" s="665">
        <f t="shared" si="6"/>
        <v>0</v>
      </c>
      <c r="I42" s="666">
        <f t="shared" si="7"/>
        <v>0</v>
      </c>
      <c r="J42" s="666"/>
      <c r="K42" s="132"/>
      <c r="L42" s="669">
        <f t="shared" si="0"/>
        <v>0</v>
      </c>
      <c r="M42" s="132"/>
      <c r="N42" s="669">
        <f t="shared" si="1"/>
        <v>0</v>
      </c>
      <c r="O42" s="669">
        <f t="shared" si="2"/>
        <v>0</v>
      </c>
      <c r="P42" s="635"/>
    </row>
    <row r="43" spans="2:16">
      <c r="B43" s="9" t="str">
        <f t="shared" si="8"/>
        <v/>
      </c>
      <c r="C43" s="662">
        <f>IF(D11="","-",+C42+1)</f>
        <v>2048</v>
      </c>
      <c r="D43" s="664">
        <f>IF(F42+SUM(E$17:E42)=D$10,F42,D$10-SUM(E$17:E42))</f>
        <v>0</v>
      </c>
      <c r="E43" s="69">
        <f t="shared" si="3"/>
        <v>0</v>
      </c>
      <c r="F43" s="664">
        <f t="shared" si="4"/>
        <v>0</v>
      </c>
      <c r="G43" s="670">
        <f t="shared" si="5"/>
        <v>0</v>
      </c>
      <c r="H43" s="665">
        <f t="shared" si="6"/>
        <v>0</v>
      </c>
      <c r="I43" s="666">
        <f t="shared" si="7"/>
        <v>0</v>
      </c>
      <c r="J43" s="666"/>
      <c r="K43" s="132"/>
      <c r="L43" s="669">
        <f t="shared" si="0"/>
        <v>0</v>
      </c>
      <c r="M43" s="132"/>
      <c r="N43" s="669">
        <f t="shared" si="1"/>
        <v>0</v>
      </c>
      <c r="O43" s="669">
        <f t="shared" si="2"/>
        <v>0</v>
      </c>
      <c r="P43" s="635"/>
    </row>
    <row r="44" spans="2:16">
      <c r="B44" s="9" t="str">
        <f t="shared" si="8"/>
        <v/>
      </c>
      <c r="C44" s="662">
        <f>IF(D11="","-",+C43+1)</f>
        <v>2049</v>
      </c>
      <c r="D44" s="664">
        <f>IF(F43+SUM(E$17:E43)=D$10,F43,D$10-SUM(E$17:E43))</f>
        <v>0</v>
      </c>
      <c r="E44" s="69">
        <f t="shared" si="3"/>
        <v>0</v>
      </c>
      <c r="F44" s="664">
        <f t="shared" si="4"/>
        <v>0</v>
      </c>
      <c r="G44" s="670">
        <f t="shared" si="5"/>
        <v>0</v>
      </c>
      <c r="H44" s="665">
        <f t="shared" si="6"/>
        <v>0</v>
      </c>
      <c r="I44" s="666">
        <f t="shared" si="7"/>
        <v>0</v>
      </c>
      <c r="J44" s="666"/>
      <c r="K44" s="132"/>
      <c r="L44" s="669">
        <f t="shared" si="0"/>
        <v>0</v>
      </c>
      <c r="M44" s="132"/>
      <c r="N44" s="669">
        <f t="shared" si="1"/>
        <v>0</v>
      </c>
      <c r="O44" s="669">
        <f t="shared" si="2"/>
        <v>0</v>
      </c>
      <c r="P44" s="635"/>
    </row>
    <row r="45" spans="2:16">
      <c r="B45" s="9" t="str">
        <f t="shared" si="8"/>
        <v/>
      </c>
      <c r="C45" s="662">
        <f>IF(D11="","-",+C44+1)</f>
        <v>2050</v>
      </c>
      <c r="D45" s="664">
        <f>IF(F44+SUM(E$17:E44)=D$10,F44,D$10-SUM(E$17:E44))</f>
        <v>0</v>
      </c>
      <c r="E45" s="69">
        <f t="shared" si="3"/>
        <v>0</v>
      </c>
      <c r="F45" s="664">
        <f t="shared" si="4"/>
        <v>0</v>
      </c>
      <c r="G45" s="670">
        <f t="shared" si="5"/>
        <v>0</v>
      </c>
      <c r="H45" s="665">
        <f t="shared" si="6"/>
        <v>0</v>
      </c>
      <c r="I45" s="666">
        <f t="shared" si="7"/>
        <v>0</v>
      </c>
      <c r="J45" s="666"/>
      <c r="K45" s="132"/>
      <c r="L45" s="669">
        <f t="shared" si="0"/>
        <v>0</v>
      </c>
      <c r="M45" s="132"/>
      <c r="N45" s="669">
        <f t="shared" si="1"/>
        <v>0</v>
      </c>
      <c r="O45" s="669">
        <f t="shared" si="2"/>
        <v>0</v>
      </c>
      <c r="P45" s="635"/>
    </row>
    <row r="46" spans="2:16">
      <c r="B46" s="9" t="str">
        <f t="shared" si="8"/>
        <v/>
      </c>
      <c r="C46" s="662">
        <f>IF(D11="","-",+C45+1)</f>
        <v>2051</v>
      </c>
      <c r="D46" s="664">
        <f>IF(F45+SUM(E$17:E45)=D$10,F45,D$10-SUM(E$17:E45))</f>
        <v>0</v>
      </c>
      <c r="E46" s="69">
        <f t="shared" si="3"/>
        <v>0</v>
      </c>
      <c r="F46" s="664">
        <f t="shared" si="4"/>
        <v>0</v>
      </c>
      <c r="G46" s="670">
        <f t="shared" si="5"/>
        <v>0</v>
      </c>
      <c r="H46" s="665">
        <f t="shared" si="6"/>
        <v>0</v>
      </c>
      <c r="I46" s="666">
        <f t="shared" si="7"/>
        <v>0</v>
      </c>
      <c r="J46" s="666"/>
      <c r="K46" s="132"/>
      <c r="L46" s="669">
        <f t="shared" si="0"/>
        <v>0</v>
      </c>
      <c r="M46" s="132"/>
      <c r="N46" s="669">
        <f t="shared" si="1"/>
        <v>0</v>
      </c>
      <c r="O46" s="669">
        <f t="shared" si="2"/>
        <v>0</v>
      </c>
      <c r="P46" s="635"/>
    </row>
    <row r="47" spans="2:16">
      <c r="B47" s="9" t="str">
        <f t="shared" si="8"/>
        <v/>
      </c>
      <c r="C47" s="662">
        <f>IF(D11="","-",+C46+1)</f>
        <v>2052</v>
      </c>
      <c r="D47" s="664">
        <f>IF(F46+SUM(E$17:E46)=D$10,F46,D$10-SUM(E$17:E46))</f>
        <v>0</v>
      </c>
      <c r="E47" s="69">
        <f t="shared" si="3"/>
        <v>0</v>
      </c>
      <c r="F47" s="664">
        <f t="shared" si="4"/>
        <v>0</v>
      </c>
      <c r="G47" s="670">
        <f t="shared" si="5"/>
        <v>0</v>
      </c>
      <c r="H47" s="665">
        <f t="shared" si="6"/>
        <v>0</v>
      </c>
      <c r="I47" s="666">
        <f t="shared" si="7"/>
        <v>0</v>
      </c>
      <c r="J47" s="666"/>
      <c r="K47" s="132"/>
      <c r="L47" s="669">
        <f t="shared" si="0"/>
        <v>0</v>
      </c>
      <c r="M47" s="132"/>
      <c r="N47" s="669">
        <f t="shared" si="1"/>
        <v>0</v>
      </c>
      <c r="O47" s="669">
        <f t="shared" si="2"/>
        <v>0</v>
      </c>
      <c r="P47" s="635"/>
    </row>
    <row r="48" spans="2:16">
      <c r="B48" s="9" t="str">
        <f t="shared" si="8"/>
        <v/>
      </c>
      <c r="C48" s="662">
        <f>IF(D11="","-",+C47+1)</f>
        <v>2053</v>
      </c>
      <c r="D48" s="664">
        <f>IF(F47+SUM(E$17:E47)=D$10,F47,D$10-SUM(E$17:E47))</f>
        <v>0</v>
      </c>
      <c r="E48" s="69">
        <f t="shared" si="3"/>
        <v>0</v>
      </c>
      <c r="F48" s="664">
        <f t="shared" si="4"/>
        <v>0</v>
      </c>
      <c r="G48" s="670">
        <f t="shared" si="5"/>
        <v>0</v>
      </c>
      <c r="H48" s="665">
        <f t="shared" si="6"/>
        <v>0</v>
      </c>
      <c r="I48" s="666">
        <f t="shared" si="7"/>
        <v>0</v>
      </c>
      <c r="J48" s="666"/>
      <c r="K48" s="132"/>
      <c r="L48" s="669">
        <f t="shared" si="0"/>
        <v>0</v>
      </c>
      <c r="M48" s="132"/>
      <c r="N48" s="669">
        <f t="shared" si="1"/>
        <v>0</v>
      </c>
      <c r="O48" s="669">
        <f t="shared" si="2"/>
        <v>0</v>
      </c>
      <c r="P48" s="635"/>
    </row>
    <row r="49" spans="2:16">
      <c r="B49" s="9" t="str">
        <f t="shared" si="8"/>
        <v/>
      </c>
      <c r="C49" s="662">
        <f>IF(D11="","-",+C48+1)</f>
        <v>2054</v>
      </c>
      <c r="D49" s="664">
        <f>IF(F48+SUM(E$17:E48)=D$10,F48,D$10-SUM(E$17:E48))</f>
        <v>0</v>
      </c>
      <c r="E49" s="69">
        <f t="shared" si="3"/>
        <v>0</v>
      </c>
      <c r="F49" s="664">
        <f t="shared" si="4"/>
        <v>0</v>
      </c>
      <c r="G49" s="670">
        <f t="shared" si="5"/>
        <v>0</v>
      </c>
      <c r="H49" s="665">
        <f t="shared" si="6"/>
        <v>0</v>
      </c>
      <c r="I49" s="666">
        <f t="shared" si="7"/>
        <v>0</v>
      </c>
      <c r="J49" s="666"/>
      <c r="K49" s="132"/>
      <c r="L49" s="669">
        <f t="shared" si="0"/>
        <v>0</v>
      </c>
      <c r="M49" s="132"/>
      <c r="N49" s="669">
        <f t="shared" si="1"/>
        <v>0</v>
      </c>
      <c r="O49" s="669">
        <f t="shared" si="2"/>
        <v>0</v>
      </c>
      <c r="P49" s="635"/>
    </row>
    <row r="50" spans="2:16">
      <c r="B50" s="9" t="str">
        <f t="shared" si="8"/>
        <v/>
      </c>
      <c r="C50" s="662">
        <f>IF(D11="","-",+C49+1)</f>
        <v>2055</v>
      </c>
      <c r="D50" s="664">
        <f>IF(F49+SUM(E$17:E49)=D$10,F49,D$10-SUM(E$17:E49))</f>
        <v>0</v>
      </c>
      <c r="E50" s="69">
        <f t="shared" si="3"/>
        <v>0</v>
      </c>
      <c r="F50" s="664">
        <f t="shared" si="4"/>
        <v>0</v>
      </c>
      <c r="G50" s="670">
        <f t="shared" si="5"/>
        <v>0</v>
      </c>
      <c r="H50" s="665">
        <f t="shared" si="6"/>
        <v>0</v>
      </c>
      <c r="I50" s="666">
        <f t="shared" si="7"/>
        <v>0</v>
      </c>
      <c r="J50" s="666"/>
      <c r="K50" s="132"/>
      <c r="L50" s="669">
        <f t="shared" si="0"/>
        <v>0</v>
      </c>
      <c r="M50" s="132"/>
      <c r="N50" s="669">
        <f t="shared" si="1"/>
        <v>0</v>
      </c>
      <c r="O50" s="669">
        <f t="shared" si="2"/>
        <v>0</v>
      </c>
      <c r="P50" s="635"/>
    </row>
    <row r="51" spans="2:16">
      <c r="B51" s="9" t="str">
        <f t="shared" si="8"/>
        <v/>
      </c>
      <c r="C51" s="662">
        <f>IF(D11="","-",+C50+1)</f>
        <v>2056</v>
      </c>
      <c r="D51" s="664">
        <f>IF(F50+SUM(E$17:E50)=D$10,F50,D$10-SUM(E$17:E50))</f>
        <v>0</v>
      </c>
      <c r="E51" s="69">
        <f t="shared" si="3"/>
        <v>0</v>
      </c>
      <c r="F51" s="664">
        <f t="shared" si="4"/>
        <v>0</v>
      </c>
      <c r="G51" s="670">
        <f t="shared" si="5"/>
        <v>0</v>
      </c>
      <c r="H51" s="665">
        <f t="shared" si="6"/>
        <v>0</v>
      </c>
      <c r="I51" s="666">
        <f t="shared" si="7"/>
        <v>0</v>
      </c>
      <c r="J51" s="666"/>
      <c r="K51" s="132"/>
      <c r="L51" s="669">
        <f t="shared" si="0"/>
        <v>0</v>
      </c>
      <c r="M51" s="132"/>
      <c r="N51" s="669">
        <f t="shared" si="1"/>
        <v>0</v>
      </c>
      <c r="O51" s="669">
        <f t="shared" si="2"/>
        <v>0</v>
      </c>
      <c r="P51" s="635"/>
    </row>
    <row r="52" spans="2:16">
      <c r="B52" s="9" t="str">
        <f t="shared" si="8"/>
        <v/>
      </c>
      <c r="C52" s="662">
        <f>IF(D11="","-",+C51+1)</f>
        <v>2057</v>
      </c>
      <c r="D52" s="664">
        <f>IF(F51+SUM(E$17:E51)=D$10,F51,D$10-SUM(E$17:E51))</f>
        <v>0</v>
      </c>
      <c r="E52" s="69">
        <f t="shared" si="3"/>
        <v>0</v>
      </c>
      <c r="F52" s="664">
        <f t="shared" si="4"/>
        <v>0</v>
      </c>
      <c r="G52" s="670">
        <f t="shared" si="5"/>
        <v>0</v>
      </c>
      <c r="H52" s="665">
        <f t="shared" si="6"/>
        <v>0</v>
      </c>
      <c r="I52" s="666">
        <f t="shared" si="7"/>
        <v>0</v>
      </c>
      <c r="J52" s="666"/>
      <c r="K52" s="132"/>
      <c r="L52" s="669">
        <f t="shared" si="0"/>
        <v>0</v>
      </c>
      <c r="M52" s="132"/>
      <c r="N52" s="669">
        <f t="shared" si="1"/>
        <v>0</v>
      </c>
      <c r="O52" s="669">
        <f t="shared" si="2"/>
        <v>0</v>
      </c>
      <c r="P52" s="635"/>
    </row>
    <row r="53" spans="2:16">
      <c r="B53" s="9" t="str">
        <f t="shared" si="8"/>
        <v/>
      </c>
      <c r="C53" s="662">
        <f>IF(D11="","-",+C52+1)</f>
        <v>2058</v>
      </c>
      <c r="D53" s="664">
        <f>IF(F52+SUM(E$17:E52)=D$10,F52,D$10-SUM(E$17:E52))</f>
        <v>0</v>
      </c>
      <c r="E53" s="69">
        <f t="shared" si="3"/>
        <v>0</v>
      </c>
      <c r="F53" s="664">
        <f t="shared" si="4"/>
        <v>0</v>
      </c>
      <c r="G53" s="670">
        <f t="shared" si="5"/>
        <v>0</v>
      </c>
      <c r="H53" s="665">
        <f t="shared" si="6"/>
        <v>0</v>
      </c>
      <c r="I53" s="666">
        <f t="shared" si="7"/>
        <v>0</v>
      </c>
      <c r="J53" s="666"/>
      <c r="K53" s="132"/>
      <c r="L53" s="669">
        <f t="shared" si="0"/>
        <v>0</v>
      </c>
      <c r="M53" s="132"/>
      <c r="N53" s="669">
        <f t="shared" si="1"/>
        <v>0</v>
      </c>
      <c r="O53" s="669">
        <f t="shared" si="2"/>
        <v>0</v>
      </c>
      <c r="P53" s="635"/>
    </row>
    <row r="54" spans="2:16">
      <c r="B54" s="9" t="str">
        <f t="shared" si="8"/>
        <v/>
      </c>
      <c r="C54" s="662">
        <f>IF(D11="","-",+C53+1)</f>
        <v>2059</v>
      </c>
      <c r="D54" s="664">
        <f>IF(F53+SUM(E$17:E53)=D$10,F53,D$10-SUM(E$17:E53))</f>
        <v>0</v>
      </c>
      <c r="E54" s="69">
        <f t="shared" si="3"/>
        <v>0</v>
      </c>
      <c r="F54" s="664">
        <f t="shared" si="4"/>
        <v>0</v>
      </c>
      <c r="G54" s="670">
        <f t="shared" si="5"/>
        <v>0</v>
      </c>
      <c r="H54" s="665">
        <f t="shared" si="6"/>
        <v>0</v>
      </c>
      <c r="I54" s="666">
        <f t="shared" si="7"/>
        <v>0</v>
      </c>
      <c r="J54" s="666"/>
      <c r="K54" s="132"/>
      <c r="L54" s="669">
        <f t="shared" si="0"/>
        <v>0</v>
      </c>
      <c r="M54" s="132"/>
      <c r="N54" s="669">
        <f t="shared" si="1"/>
        <v>0</v>
      </c>
      <c r="O54" s="669">
        <f t="shared" si="2"/>
        <v>0</v>
      </c>
      <c r="P54" s="635"/>
    </row>
    <row r="55" spans="2:16">
      <c r="B55" s="9" t="str">
        <f t="shared" si="8"/>
        <v/>
      </c>
      <c r="C55" s="662">
        <f>IF(D11="","-",+C54+1)</f>
        <v>2060</v>
      </c>
      <c r="D55" s="664">
        <f>IF(F54+SUM(E$17:E54)=D$10,F54,D$10-SUM(E$17:E54))</f>
        <v>0</v>
      </c>
      <c r="E55" s="69">
        <f t="shared" si="3"/>
        <v>0</v>
      </c>
      <c r="F55" s="664">
        <f t="shared" si="4"/>
        <v>0</v>
      </c>
      <c r="G55" s="670">
        <f t="shared" si="5"/>
        <v>0</v>
      </c>
      <c r="H55" s="665">
        <f t="shared" si="6"/>
        <v>0</v>
      </c>
      <c r="I55" s="666">
        <f t="shared" si="7"/>
        <v>0</v>
      </c>
      <c r="J55" s="666"/>
      <c r="K55" s="132"/>
      <c r="L55" s="669">
        <f t="shared" si="0"/>
        <v>0</v>
      </c>
      <c r="M55" s="132"/>
      <c r="N55" s="669">
        <f t="shared" si="1"/>
        <v>0</v>
      </c>
      <c r="O55" s="669">
        <f t="shared" si="2"/>
        <v>0</v>
      </c>
      <c r="P55" s="635"/>
    </row>
    <row r="56" spans="2:16">
      <c r="B56" s="9" t="str">
        <f t="shared" si="8"/>
        <v/>
      </c>
      <c r="C56" s="662">
        <f>IF(D11="","-",+C55+1)</f>
        <v>2061</v>
      </c>
      <c r="D56" s="664">
        <f>IF(F55+SUM(E$17:E55)=D$10,F55,D$10-SUM(E$17:E55))</f>
        <v>0</v>
      </c>
      <c r="E56" s="69">
        <f t="shared" si="3"/>
        <v>0</v>
      </c>
      <c r="F56" s="664">
        <f t="shared" si="4"/>
        <v>0</v>
      </c>
      <c r="G56" s="670">
        <f t="shared" si="5"/>
        <v>0</v>
      </c>
      <c r="H56" s="665">
        <f t="shared" si="6"/>
        <v>0</v>
      </c>
      <c r="I56" s="666">
        <f t="shared" si="7"/>
        <v>0</v>
      </c>
      <c r="J56" s="666"/>
      <c r="K56" s="132"/>
      <c r="L56" s="669">
        <f t="shared" si="0"/>
        <v>0</v>
      </c>
      <c r="M56" s="132"/>
      <c r="N56" s="669">
        <f t="shared" si="1"/>
        <v>0</v>
      </c>
      <c r="O56" s="669">
        <f t="shared" si="2"/>
        <v>0</v>
      </c>
      <c r="P56" s="635"/>
    </row>
    <row r="57" spans="2:16">
      <c r="B57" s="9" t="str">
        <f t="shared" si="8"/>
        <v/>
      </c>
      <c r="C57" s="662">
        <f>IF(D11="","-",+C56+1)</f>
        <v>2062</v>
      </c>
      <c r="D57" s="664">
        <f>IF(F56+SUM(E$17:E56)=D$10,F56,D$10-SUM(E$17:E56))</f>
        <v>0</v>
      </c>
      <c r="E57" s="69">
        <f t="shared" si="3"/>
        <v>0</v>
      </c>
      <c r="F57" s="664">
        <f t="shared" si="4"/>
        <v>0</v>
      </c>
      <c r="G57" s="670">
        <f t="shared" si="5"/>
        <v>0</v>
      </c>
      <c r="H57" s="665">
        <f t="shared" si="6"/>
        <v>0</v>
      </c>
      <c r="I57" s="666">
        <f t="shared" si="7"/>
        <v>0</v>
      </c>
      <c r="J57" s="666"/>
      <c r="K57" s="132"/>
      <c r="L57" s="669">
        <f t="shared" si="0"/>
        <v>0</v>
      </c>
      <c r="M57" s="132"/>
      <c r="N57" s="669">
        <f t="shared" si="1"/>
        <v>0</v>
      </c>
      <c r="O57" s="669">
        <f t="shared" si="2"/>
        <v>0</v>
      </c>
      <c r="P57" s="635"/>
    </row>
    <row r="58" spans="2:16">
      <c r="B58" s="9" t="str">
        <f t="shared" si="8"/>
        <v/>
      </c>
      <c r="C58" s="662">
        <f>IF(D11="","-",+C57+1)</f>
        <v>2063</v>
      </c>
      <c r="D58" s="664">
        <f>IF(F57+SUM(E$17:E57)=D$10,F57,D$10-SUM(E$17:E57))</f>
        <v>0</v>
      </c>
      <c r="E58" s="69">
        <f t="shared" si="3"/>
        <v>0</v>
      </c>
      <c r="F58" s="664">
        <f t="shared" si="4"/>
        <v>0</v>
      </c>
      <c r="G58" s="670">
        <f t="shared" si="5"/>
        <v>0</v>
      </c>
      <c r="H58" s="665">
        <f t="shared" si="6"/>
        <v>0</v>
      </c>
      <c r="I58" s="666">
        <f t="shared" si="7"/>
        <v>0</v>
      </c>
      <c r="J58" s="666"/>
      <c r="K58" s="132"/>
      <c r="L58" s="669">
        <f t="shared" si="0"/>
        <v>0</v>
      </c>
      <c r="M58" s="132"/>
      <c r="N58" s="669">
        <f t="shared" si="1"/>
        <v>0</v>
      </c>
      <c r="O58" s="669">
        <f t="shared" si="2"/>
        <v>0</v>
      </c>
      <c r="P58" s="635"/>
    </row>
    <row r="59" spans="2:16">
      <c r="B59" s="9" t="str">
        <f t="shared" si="8"/>
        <v/>
      </c>
      <c r="C59" s="662">
        <f>IF(D11="","-",+C58+1)</f>
        <v>2064</v>
      </c>
      <c r="D59" s="664">
        <f>IF(F58+SUM(E$17:E58)=D$10,F58,D$10-SUM(E$17:E58))</f>
        <v>0</v>
      </c>
      <c r="E59" s="69">
        <f t="shared" si="3"/>
        <v>0</v>
      </c>
      <c r="F59" s="664">
        <f t="shared" si="4"/>
        <v>0</v>
      </c>
      <c r="G59" s="670">
        <f t="shared" si="5"/>
        <v>0</v>
      </c>
      <c r="H59" s="665">
        <f t="shared" si="6"/>
        <v>0</v>
      </c>
      <c r="I59" s="666">
        <f t="shared" si="7"/>
        <v>0</v>
      </c>
      <c r="J59" s="666"/>
      <c r="K59" s="132"/>
      <c r="L59" s="669">
        <f t="shared" si="0"/>
        <v>0</v>
      </c>
      <c r="M59" s="132"/>
      <c r="N59" s="669">
        <f t="shared" si="1"/>
        <v>0</v>
      </c>
      <c r="O59" s="669">
        <f t="shared" si="2"/>
        <v>0</v>
      </c>
      <c r="P59" s="635"/>
    </row>
    <row r="60" spans="2:16">
      <c r="B60" s="9" t="str">
        <f t="shared" si="8"/>
        <v/>
      </c>
      <c r="C60" s="662">
        <f>IF(D11="","-",+C59+1)</f>
        <v>2065</v>
      </c>
      <c r="D60" s="664">
        <f>IF(F59+SUM(E$17:E59)=D$10,F59,D$10-SUM(E$17:E59))</f>
        <v>0</v>
      </c>
      <c r="E60" s="69">
        <f t="shared" si="3"/>
        <v>0</v>
      </c>
      <c r="F60" s="664">
        <f t="shared" si="4"/>
        <v>0</v>
      </c>
      <c r="G60" s="670">
        <f t="shared" si="5"/>
        <v>0</v>
      </c>
      <c r="H60" s="665">
        <f t="shared" si="6"/>
        <v>0</v>
      </c>
      <c r="I60" s="666">
        <f t="shared" si="7"/>
        <v>0</v>
      </c>
      <c r="J60" s="666"/>
      <c r="K60" s="132"/>
      <c r="L60" s="669">
        <f t="shared" si="0"/>
        <v>0</v>
      </c>
      <c r="M60" s="132"/>
      <c r="N60" s="669">
        <f t="shared" si="1"/>
        <v>0</v>
      </c>
      <c r="O60" s="669">
        <f t="shared" si="2"/>
        <v>0</v>
      </c>
      <c r="P60" s="635"/>
    </row>
    <row r="61" spans="2:16">
      <c r="B61" s="9" t="str">
        <f t="shared" si="8"/>
        <v/>
      </c>
      <c r="C61" s="662">
        <f>IF(D11="","-",+C60+1)</f>
        <v>2066</v>
      </c>
      <c r="D61" s="664">
        <f>IF(F60+SUM(E$17:E60)=D$10,F60,D$10-SUM(E$17:E60))</f>
        <v>0</v>
      </c>
      <c r="E61" s="69">
        <f t="shared" si="3"/>
        <v>0</v>
      </c>
      <c r="F61" s="664">
        <f t="shared" si="4"/>
        <v>0</v>
      </c>
      <c r="G61" s="670">
        <f t="shared" si="5"/>
        <v>0</v>
      </c>
      <c r="H61" s="665">
        <f t="shared" si="6"/>
        <v>0</v>
      </c>
      <c r="I61" s="666">
        <f t="shared" si="7"/>
        <v>0</v>
      </c>
      <c r="J61" s="666"/>
      <c r="K61" s="132"/>
      <c r="L61" s="669">
        <f t="shared" si="0"/>
        <v>0</v>
      </c>
      <c r="M61" s="132"/>
      <c r="N61" s="669">
        <f t="shared" si="1"/>
        <v>0</v>
      </c>
      <c r="O61" s="669">
        <f t="shared" si="2"/>
        <v>0</v>
      </c>
      <c r="P61" s="635"/>
    </row>
    <row r="62" spans="2:16">
      <c r="B62" s="9" t="str">
        <f t="shared" si="8"/>
        <v/>
      </c>
      <c r="C62" s="662">
        <f>IF(D11="","-",+C61+1)</f>
        <v>2067</v>
      </c>
      <c r="D62" s="664">
        <f>IF(F61+SUM(E$17:E61)=D$10,F61,D$10-SUM(E$17:E61))</f>
        <v>0</v>
      </c>
      <c r="E62" s="69">
        <f t="shared" si="3"/>
        <v>0</v>
      </c>
      <c r="F62" s="664">
        <f t="shared" si="4"/>
        <v>0</v>
      </c>
      <c r="G62" s="670">
        <f t="shared" si="5"/>
        <v>0</v>
      </c>
      <c r="H62" s="665">
        <f t="shared" si="6"/>
        <v>0</v>
      </c>
      <c r="I62" s="666">
        <f t="shared" si="7"/>
        <v>0</v>
      </c>
      <c r="J62" s="666"/>
      <c r="K62" s="132"/>
      <c r="L62" s="669">
        <f t="shared" si="0"/>
        <v>0</v>
      </c>
      <c r="M62" s="132"/>
      <c r="N62" s="669">
        <f t="shared" si="1"/>
        <v>0</v>
      </c>
      <c r="O62" s="669">
        <f t="shared" si="2"/>
        <v>0</v>
      </c>
      <c r="P62" s="635"/>
    </row>
    <row r="63" spans="2:16">
      <c r="B63" s="9" t="str">
        <f t="shared" si="8"/>
        <v/>
      </c>
      <c r="C63" s="662">
        <f>IF(D11="","-",+C62+1)</f>
        <v>2068</v>
      </c>
      <c r="D63" s="664">
        <f>IF(F62+SUM(E$17:E62)=D$10,F62,D$10-SUM(E$17:E62))</f>
        <v>0</v>
      </c>
      <c r="E63" s="69">
        <f t="shared" si="3"/>
        <v>0</v>
      </c>
      <c r="F63" s="664">
        <f t="shared" si="4"/>
        <v>0</v>
      </c>
      <c r="G63" s="670">
        <f t="shared" si="5"/>
        <v>0</v>
      </c>
      <c r="H63" s="665">
        <f t="shared" si="6"/>
        <v>0</v>
      </c>
      <c r="I63" s="666">
        <f t="shared" si="7"/>
        <v>0</v>
      </c>
      <c r="J63" s="666"/>
      <c r="K63" s="132"/>
      <c r="L63" s="669">
        <f t="shared" si="0"/>
        <v>0</v>
      </c>
      <c r="M63" s="132"/>
      <c r="N63" s="669">
        <f t="shared" si="1"/>
        <v>0</v>
      </c>
      <c r="O63" s="669">
        <f t="shared" si="2"/>
        <v>0</v>
      </c>
      <c r="P63" s="635"/>
    </row>
    <row r="64" spans="2:16">
      <c r="B64" s="9" t="str">
        <f t="shared" si="8"/>
        <v/>
      </c>
      <c r="C64" s="662">
        <f>IF(D11="","-",+C63+1)</f>
        <v>2069</v>
      </c>
      <c r="D64" s="664">
        <f>IF(F63+SUM(E$17:E63)=D$10,F63,D$10-SUM(E$17:E63))</f>
        <v>0</v>
      </c>
      <c r="E64" s="69">
        <f t="shared" si="3"/>
        <v>0</v>
      </c>
      <c r="F64" s="664">
        <f t="shared" si="4"/>
        <v>0</v>
      </c>
      <c r="G64" s="670">
        <f t="shared" si="5"/>
        <v>0</v>
      </c>
      <c r="H64" s="665">
        <f t="shared" si="6"/>
        <v>0</v>
      </c>
      <c r="I64" s="666">
        <f t="shared" si="7"/>
        <v>0</v>
      </c>
      <c r="J64" s="666"/>
      <c r="K64" s="132"/>
      <c r="L64" s="669">
        <f t="shared" si="0"/>
        <v>0</v>
      </c>
      <c r="M64" s="132"/>
      <c r="N64" s="669">
        <f t="shared" si="1"/>
        <v>0</v>
      </c>
      <c r="O64" s="669">
        <f t="shared" si="2"/>
        <v>0</v>
      </c>
      <c r="P64" s="635"/>
    </row>
    <row r="65" spans="2:16">
      <c r="B65" s="9" t="str">
        <f t="shared" si="8"/>
        <v/>
      </c>
      <c r="C65" s="662">
        <f>IF(D11="","-",+C64+1)</f>
        <v>2070</v>
      </c>
      <c r="D65" s="664">
        <f>IF(F64+SUM(E$17:E64)=D$10,F64,D$10-SUM(E$17:E64))</f>
        <v>0</v>
      </c>
      <c r="E65" s="69">
        <f t="shared" si="3"/>
        <v>0</v>
      </c>
      <c r="F65" s="664">
        <f t="shared" si="4"/>
        <v>0</v>
      </c>
      <c r="G65" s="670">
        <f t="shared" si="5"/>
        <v>0</v>
      </c>
      <c r="H65" s="665">
        <f t="shared" si="6"/>
        <v>0</v>
      </c>
      <c r="I65" s="666">
        <f t="shared" si="7"/>
        <v>0</v>
      </c>
      <c r="J65" s="666"/>
      <c r="K65" s="132"/>
      <c r="L65" s="669">
        <f t="shared" si="0"/>
        <v>0</v>
      </c>
      <c r="M65" s="132"/>
      <c r="N65" s="669">
        <f t="shared" si="1"/>
        <v>0</v>
      </c>
      <c r="O65" s="669">
        <f t="shared" si="2"/>
        <v>0</v>
      </c>
      <c r="P65" s="635"/>
    </row>
    <row r="66" spans="2:16">
      <c r="B66" s="9" t="str">
        <f t="shared" si="8"/>
        <v/>
      </c>
      <c r="C66" s="662">
        <f>IF(D11="","-",+C65+1)</f>
        <v>2071</v>
      </c>
      <c r="D66" s="664">
        <f>IF(F65+SUM(E$17:E65)=D$10,F65,D$10-SUM(E$17:E65))</f>
        <v>0</v>
      </c>
      <c r="E66" s="69">
        <f t="shared" si="3"/>
        <v>0</v>
      </c>
      <c r="F66" s="664">
        <f t="shared" si="4"/>
        <v>0</v>
      </c>
      <c r="G66" s="670">
        <f t="shared" si="5"/>
        <v>0</v>
      </c>
      <c r="H66" s="665">
        <f t="shared" si="6"/>
        <v>0</v>
      </c>
      <c r="I66" s="666">
        <f t="shared" si="7"/>
        <v>0</v>
      </c>
      <c r="J66" s="666"/>
      <c r="K66" s="132"/>
      <c r="L66" s="669">
        <f t="shared" si="0"/>
        <v>0</v>
      </c>
      <c r="M66" s="132"/>
      <c r="N66" s="669">
        <f t="shared" si="1"/>
        <v>0</v>
      </c>
      <c r="O66" s="669">
        <f t="shared" si="2"/>
        <v>0</v>
      </c>
      <c r="P66" s="635"/>
    </row>
    <row r="67" spans="2:16">
      <c r="B67" s="9" t="str">
        <f t="shared" si="8"/>
        <v/>
      </c>
      <c r="C67" s="662">
        <f>IF(D11="","-",+C66+1)</f>
        <v>2072</v>
      </c>
      <c r="D67" s="664">
        <f>IF(F66+SUM(E$17:E66)=D$10,F66,D$10-SUM(E$17:E66))</f>
        <v>0</v>
      </c>
      <c r="E67" s="69">
        <f t="shared" si="3"/>
        <v>0</v>
      </c>
      <c r="F67" s="664">
        <f t="shared" si="4"/>
        <v>0</v>
      </c>
      <c r="G67" s="670">
        <f t="shared" si="5"/>
        <v>0</v>
      </c>
      <c r="H67" s="665">
        <f t="shared" si="6"/>
        <v>0</v>
      </c>
      <c r="I67" s="666">
        <f t="shared" si="7"/>
        <v>0</v>
      </c>
      <c r="J67" s="666"/>
      <c r="K67" s="132"/>
      <c r="L67" s="669">
        <f t="shared" si="0"/>
        <v>0</v>
      </c>
      <c r="M67" s="132"/>
      <c r="N67" s="669">
        <f t="shared" si="1"/>
        <v>0</v>
      </c>
      <c r="O67" s="669">
        <f t="shared" si="2"/>
        <v>0</v>
      </c>
      <c r="P67" s="635"/>
    </row>
    <row r="68" spans="2:16">
      <c r="B68" s="9" t="str">
        <f t="shared" si="8"/>
        <v/>
      </c>
      <c r="C68" s="662">
        <f>IF(D11="","-",+C67+1)</f>
        <v>2073</v>
      </c>
      <c r="D68" s="664">
        <f>IF(F67+SUM(E$17:E67)=D$10,F67,D$10-SUM(E$17:E67))</f>
        <v>0</v>
      </c>
      <c r="E68" s="69">
        <f t="shared" si="3"/>
        <v>0</v>
      </c>
      <c r="F68" s="664">
        <f t="shared" si="4"/>
        <v>0</v>
      </c>
      <c r="G68" s="670">
        <f t="shared" si="5"/>
        <v>0</v>
      </c>
      <c r="H68" s="665">
        <f t="shared" si="6"/>
        <v>0</v>
      </c>
      <c r="I68" s="666">
        <f t="shared" si="7"/>
        <v>0</v>
      </c>
      <c r="J68" s="666"/>
      <c r="K68" s="132"/>
      <c r="L68" s="669">
        <f t="shared" si="0"/>
        <v>0</v>
      </c>
      <c r="M68" s="132"/>
      <c r="N68" s="669">
        <f t="shared" si="1"/>
        <v>0</v>
      </c>
      <c r="O68" s="669">
        <f t="shared" si="2"/>
        <v>0</v>
      </c>
      <c r="P68" s="635"/>
    </row>
    <row r="69" spans="2:16">
      <c r="B69" s="9" t="str">
        <f t="shared" si="8"/>
        <v/>
      </c>
      <c r="C69" s="662">
        <f>IF(D11="","-",+C68+1)</f>
        <v>2074</v>
      </c>
      <c r="D69" s="664">
        <f>IF(F68+SUM(E$17:E68)=D$10,F68,D$10-SUM(E$17:E68))</f>
        <v>0</v>
      </c>
      <c r="E69" s="69">
        <f t="shared" si="3"/>
        <v>0</v>
      </c>
      <c r="F69" s="664">
        <f t="shared" si="4"/>
        <v>0</v>
      </c>
      <c r="G69" s="670">
        <f t="shared" si="5"/>
        <v>0</v>
      </c>
      <c r="H69" s="665">
        <f t="shared" si="6"/>
        <v>0</v>
      </c>
      <c r="I69" s="666">
        <f t="shared" si="7"/>
        <v>0</v>
      </c>
      <c r="J69" s="666"/>
      <c r="K69" s="132"/>
      <c r="L69" s="669">
        <f t="shared" si="0"/>
        <v>0</v>
      </c>
      <c r="M69" s="132"/>
      <c r="N69" s="669">
        <f t="shared" si="1"/>
        <v>0</v>
      </c>
      <c r="O69" s="669">
        <f t="shared" si="2"/>
        <v>0</v>
      </c>
      <c r="P69" s="635"/>
    </row>
    <row r="70" spans="2:16">
      <c r="B70" s="9" t="str">
        <f t="shared" si="8"/>
        <v/>
      </c>
      <c r="C70" s="662">
        <f>IF(D11="","-",+C69+1)</f>
        <v>2075</v>
      </c>
      <c r="D70" s="664">
        <f>IF(F69+SUM(E$17:E69)=D$10,F69,D$10-SUM(E$17:E69))</f>
        <v>0</v>
      </c>
      <c r="E70" s="69">
        <f t="shared" si="3"/>
        <v>0</v>
      </c>
      <c r="F70" s="664">
        <f t="shared" si="4"/>
        <v>0</v>
      </c>
      <c r="G70" s="670">
        <f t="shared" si="5"/>
        <v>0</v>
      </c>
      <c r="H70" s="665">
        <f t="shared" si="6"/>
        <v>0</v>
      </c>
      <c r="I70" s="666">
        <f t="shared" si="7"/>
        <v>0</v>
      </c>
      <c r="J70" s="666"/>
      <c r="K70" s="132"/>
      <c r="L70" s="669">
        <f t="shared" si="0"/>
        <v>0</v>
      </c>
      <c r="M70" s="132"/>
      <c r="N70" s="669">
        <f t="shared" si="1"/>
        <v>0</v>
      </c>
      <c r="O70" s="669">
        <f t="shared" si="2"/>
        <v>0</v>
      </c>
      <c r="P70" s="635"/>
    </row>
    <row r="71" spans="2:16">
      <c r="B71" s="9" t="str">
        <f t="shared" si="8"/>
        <v/>
      </c>
      <c r="C71" s="662">
        <f>IF(D11="","-",+C70+1)</f>
        <v>2076</v>
      </c>
      <c r="D71" s="664">
        <f>IF(F70+SUM(E$17:E70)=D$10,F70,D$10-SUM(E$17:E70))</f>
        <v>0</v>
      </c>
      <c r="E71" s="69">
        <f t="shared" si="3"/>
        <v>0</v>
      </c>
      <c r="F71" s="664">
        <f t="shared" si="4"/>
        <v>0</v>
      </c>
      <c r="G71" s="670">
        <f t="shared" si="5"/>
        <v>0</v>
      </c>
      <c r="H71" s="665">
        <f t="shared" si="6"/>
        <v>0</v>
      </c>
      <c r="I71" s="666">
        <f t="shared" si="7"/>
        <v>0</v>
      </c>
      <c r="J71" s="666"/>
      <c r="K71" s="132"/>
      <c r="L71" s="669">
        <f t="shared" si="0"/>
        <v>0</v>
      </c>
      <c r="M71" s="132"/>
      <c r="N71" s="669">
        <f t="shared" si="1"/>
        <v>0</v>
      </c>
      <c r="O71" s="669">
        <f t="shared" si="2"/>
        <v>0</v>
      </c>
      <c r="P71" s="635"/>
    </row>
    <row r="72" spans="2:16" ht="13.5" thickBot="1">
      <c r="B72" s="9" t="str">
        <f t="shared" si="8"/>
        <v/>
      </c>
      <c r="C72" s="671">
        <f>IF(D11="","-",+C71+1)</f>
        <v>2077</v>
      </c>
      <c r="D72" s="672">
        <f>IF(F71+SUM(E$17:E71)=D$10,F71,D$10-SUM(E$17:E71))</f>
        <v>0</v>
      </c>
      <c r="E72" s="491">
        <f>IF(+I$14&lt;F71,I$14,D72)</f>
        <v>0</v>
      </c>
      <c r="F72" s="672">
        <f>+D72-E72</f>
        <v>0</v>
      </c>
      <c r="G72" s="673">
        <f>(D72+F72)/2*I$12+E72</f>
        <v>0</v>
      </c>
      <c r="H72" s="647">
        <f>+(D72+F72)/2*I$13+E72</f>
        <v>0</v>
      </c>
      <c r="I72" s="674">
        <f>H72-G72</f>
        <v>0</v>
      </c>
      <c r="J72" s="666"/>
      <c r="K72" s="133"/>
      <c r="L72" s="675">
        <f t="shared" si="0"/>
        <v>0</v>
      </c>
      <c r="M72" s="133"/>
      <c r="N72" s="675">
        <f t="shared" si="1"/>
        <v>0</v>
      </c>
      <c r="O72" s="675">
        <f t="shared" si="2"/>
        <v>0</v>
      </c>
      <c r="P72" s="635"/>
    </row>
    <row r="73" spans="2:16">
      <c r="C73" s="663" t="s">
        <v>77</v>
      </c>
      <c r="D73" s="642"/>
      <c r="E73" s="642">
        <f>SUM(E17:E72)</f>
        <v>31450.099999999991</v>
      </c>
      <c r="F73" s="642"/>
      <c r="G73" s="642">
        <f>SUM(G17:G72)</f>
        <v>118131.61649701213</v>
      </c>
      <c r="H73" s="642">
        <f>SUM(H17:H72)</f>
        <v>118131.61649701213</v>
      </c>
      <c r="I73" s="642">
        <f>SUM(I17:I72)</f>
        <v>0</v>
      </c>
      <c r="J73" s="642"/>
      <c r="K73" s="642"/>
      <c r="L73" s="642"/>
      <c r="M73" s="642"/>
      <c r="N73" s="642"/>
      <c r="O73" s="635"/>
      <c r="P73" s="635"/>
    </row>
    <row r="74" spans="2:16">
      <c r="D74" s="636"/>
      <c r="E74" s="635"/>
      <c r="F74" s="635"/>
      <c r="G74" s="635"/>
      <c r="H74" s="638"/>
      <c r="I74" s="638"/>
      <c r="J74" s="642"/>
      <c r="K74" s="638"/>
      <c r="L74" s="638"/>
      <c r="M74" s="638"/>
      <c r="N74" s="638"/>
      <c r="O74" s="635"/>
      <c r="P74" s="635"/>
    </row>
    <row r="75" spans="2:16">
      <c r="C75" s="648" t="s">
        <v>106</v>
      </c>
      <c r="D75" s="636"/>
      <c r="E75" s="635"/>
      <c r="F75" s="635"/>
      <c r="G75" s="635"/>
      <c r="H75" s="638"/>
      <c r="I75" s="638"/>
      <c r="J75" s="642"/>
      <c r="K75" s="638"/>
      <c r="L75" s="638"/>
      <c r="M75" s="638"/>
      <c r="N75" s="638"/>
      <c r="O75" s="635"/>
      <c r="P75" s="635"/>
    </row>
    <row r="76" spans="2:16">
      <c r="C76" s="645" t="s">
        <v>78</v>
      </c>
      <c r="D76" s="636"/>
      <c r="E76" s="635"/>
      <c r="F76" s="635"/>
      <c r="G76" s="635"/>
      <c r="H76" s="638"/>
      <c r="I76" s="638"/>
      <c r="J76" s="642"/>
      <c r="K76" s="638"/>
      <c r="L76" s="638"/>
      <c r="M76" s="638"/>
      <c r="N76" s="638"/>
      <c r="O76" s="635"/>
      <c r="P76" s="635"/>
    </row>
    <row r="77" spans="2:16">
      <c r="C77" s="645" t="s">
        <v>79</v>
      </c>
      <c r="D77" s="663"/>
      <c r="E77" s="663"/>
      <c r="F77" s="663"/>
      <c r="G77" s="642"/>
      <c r="H77" s="642"/>
      <c r="I77" s="676"/>
      <c r="J77" s="676"/>
      <c r="K77" s="676"/>
      <c r="L77" s="676"/>
      <c r="M77" s="676"/>
      <c r="N77" s="676"/>
      <c r="O77" s="635"/>
      <c r="P77" s="635"/>
    </row>
    <row r="78" spans="2:16">
      <c r="C78" s="645"/>
      <c r="D78" s="663"/>
      <c r="E78" s="663"/>
      <c r="F78" s="663"/>
      <c r="G78" s="642"/>
      <c r="H78" s="642"/>
      <c r="I78" s="676"/>
      <c r="J78" s="676"/>
      <c r="K78" s="676"/>
      <c r="L78" s="676"/>
      <c r="M78" s="676"/>
      <c r="N78" s="676"/>
      <c r="O78" s="635"/>
      <c r="P78" s="635"/>
    </row>
    <row r="79" spans="2:16">
      <c r="B79" s="635"/>
      <c r="C79" s="635"/>
      <c r="D79" s="636"/>
      <c r="E79" s="635"/>
      <c r="F79" s="663"/>
      <c r="G79" s="635"/>
      <c r="H79" s="638"/>
      <c r="I79" s="635"/>
      <c r="J79" s="635"/>
      <c r="K79" s="635"/>
      <c r="L79" s="635"/>
      <c r="M79" s="635"/>
      <c r="N79" s="635"/>
      <c r="O79" s="635"/>
      <c r="P79" s="635"/>
    </row>
    <row r="80" spans="2:16" ht="18">
      <c r="B80" s="635"/>
      <c r="C80" s="677"/>
      <c r="D80" s="636"/>
      <c r="E80" s="635"/>
      <c r="F80" s="663"/>
      <c r="G80" s="635"/>
      <c r="H80" s="638"/>
      <c r="I80" s="635"/>
      <c r="J80" s="635"/>
      <c r="K80" s="635"/>
      <c r="L80" s="635"/>
      <c r="M80" s="635"/>
      <c r="N80" s="635"/>
      <c r="P80" s="111" t="s">
        <v>144</v>
      </c>
    </row>
    <row r="81" spans="1:16">
      <c r="B81" s="635"/>
      <c r="C81" s="635"/>
      <c r="D81" s="636"/>
      <c r="E81" s="635"/>
      <c r="F81" s="663"/>
      <c r="G81" s="635"/>
      <c r="H81" s="638"/>
      <c r="I81" s="635"/>
      <c r="J81" s="635"/>
      <c r="K81" s="635"/>
      <c r="L81" s="635"/>
      <c r="M81" s="635"/>
      <c r="N81" s="635"/>
      <c r="O81" s="635"/>
      <c r="P81" s="635"/>
    </row>
    <row r="82" spans="1:16">
      <c r="B82" s="635"/>
      <c r="C82" s="635"/>
      <c r="D82" s="636"/>
      <c r="E82" s="635"/>
      <c r="F82" s="663"/>
      <c r="G82" s="635"/>
      <c r="H82" s="638"/>
      <c r="I82" s="635"/>
      <c r="J82" s="635"/>
      <c r="K82" s="635"/>
      <c r="L82" s="635"/>
      <c r="M82" s="635"/>
      <c r="N82" s="635"/>
      <c r="O82" s="635"/>
      <c r="P82" s="635"/>
    </row>
    <row r="83" spans="1:16" ht="20.25">
      <c r="A83" s="110" t="s">
        <v>146</v>
      </c>
      <c r="B83" s="635"/>
      <c r="C83" s="635"/>
      <c r="D83" s="636"/>
      <c r="E83" s="635"/>
      <c r="F83" s="637"/>
      <c r="G83" s="637"/>
      <c r="H83" s="635"/>
      <c r="I83" s="638"/>
      <c r="L83" s="19"/>
      <c r="M83" s="19"/>
      <c r="P83" s="19" t="str">
        <f>P1</f>
        <v>PSO Project 29 of 31</v>
      </c>
    </row>
    <row r="84" spans="1:16" ht="18">
      <c r="B84" s="635"/>
      <c r="C84" s="635"/>
      <c r="D84" s="636"/>
      <c r="E84" s="635"/>
      <c r="F84" s="635"/>
      <c r="G84" s="635"/>
      <c r="H84" s="635"/>
      <c r="I84" s="638"/>
      <c r="J84" s="635"/>
      <c r="K84" s="635"/>
      <c r="L84" s="635"/>
      <c r="M84" s="635"/>
      <c r="P84" s="117" t="s">
        <v>151</v>
      </c>
    </row>
    <row r="85" spans="1:16" ht="18.75" thickBot="1">
      <c r="B85" s="640" t="s">
        <v>42</v>
      </c>
      <c r="C85" s="678" t="s">
        <v>91</v>
      </c>
      <c r="D85" s="636"/>
      <c r="E85" s="635"/>
      <c r="F85" s="635"/>
      <c r="G85" s="635"/>
      <c r="H85" s="635"/>
      <c r="I85" s="638"/>
      <c r="J85" s="638"/>
      <c r="K85" s="642"/>
      <c r="L85" s="638"/>
      <c r="M85" s="638"/>
      <c r="N85" s="638"/>
      <c r="O85" s="642"/>
      <c r="P85" s="635"/>
    </row>
    <row r="86" spans="1:16" ht="15.75" thickBot="1">
      <c r="C86" s="643"/>
      <c r="D86" s="636"/>
      <c r="E86" s="635"/>
      <c r="F86" s="635"/>
      <c r="G86" s="635"/>
      <c r="H86" s="635"/>
      <c r="I86" s="638"/>
      <c r="J86" s="638"/>
      <c r="K86" s="642"/>
      <c r="L86" s="679">
        <f>+J92</f>
        <v>2022</v>
      </c>
      <c r="M86" s="680" t="s">
        <v>8</v>
      </c>
      <c r="N86" s="681" t="s">
        <v>153</v>
      </c>
      <c r="O86" s="682" t="s">
        <v>10</v>
      </c>
      <c r="P86" s="635"/>
    </row>
    <row r="87" spans="1:16" ht="15">
      <c r="C87" s="107" t="s">
        <v>44</v>
      </c>
      <c r="D87" s="636"/>
      <c r="E87" s="635"/>
      <c r="F87" s="635"/>
      <c r="G87" s="635"/>
      <c r="H87" s="421"/>
      <c r="I87" s="635" t="s">
        <v>45</v>
      </c>
      <c r="J87" s="635"/>
      <c r="K87" s="122"/>
      <c r="L87" s="683" t="s">
        <v>154</v>
      </c>
      <c r="M87" s="508">
        <f>IF(J92&lt;D11,0,VLOOKUP(J92,C17:O72,9))</f>
        <v>98065.578092049604</v>
      </c>
      <c r="N87" s="508">
        <f>IF(J92&lt;D11,0,VLOOKUP(J92,C17:O72,11))</f>
        <v>98065.578092049604</v>
      </c>
      <c r="O87" s="684">
        <f>+N87-M87</f>
        <v>0</v>
      </c>
      <c r="P87" s="635"/>
    </row>
    <row r="88" spans="1:16" ht="15.75">
      <c r="C88" s="8"/>
      <c r="D88" s="636"/>
      <c r="E88" s="635"/>
      <c r="F88" s="635"/>
      <c r="G88" s="635"/>
      <c r="H88" s="635"/>
      <c r="I88" s="426"/>
      <c r="J88" s="426"/>
      <c r="K88" s="510"/>
      <c r="L88" s="685" t="s">
        <v>155</v>
      </c>
      <c r="M88" s="512">
        <f>IF(J92&lt;D11,0,VLOOKUP(J92,C99:P154,6))</f>
        <v>1695.3372308813255</v>
      </c>
      <c r="N88" s="512">
        <f>IF(J92&lt;D11,0,VLOOKUP(J92,C99:P154,7))</f>
        <v>1695.3372308813255</v>
      </c>
      <c r="O88" s="686">
        <f>+N88-M88</f>
        <v>0</v>
      </c>
      <c r="P88" s="635"/>
    </row>
    <row r="89" spans="1:16" ht="13.5" thickBot="1">
      <c r="C89" s="645" t="s">
        <v>92</v>
      </c>
      <c r="D89" s="113"/>
      <c r="E89" s="635"/>
      <c r="F89" s="635"/>
      <c r="G89" s="635"/>
      <c r="H89" s="635"/>
      <c r="I89" s="638"/>
      <c r="J89" s="638"/>
      <c r="K89" s="515"/>
      <c r="L89" s="687" t="s">
        <v>156</v>
      </c>
      <c r="M89" s="517">
        <f>+M88-M87</f>
        <v>-96370.240861168277</v>
      </c>
      <c r="N89" s="517">
        <f>+N88-N87</f>
        <v>-96370.240861168277</v>
      </c>
      <c r="O89" s="518">
        <f>+O88-O87</f>
        <v>0</v>
      </c>
      <c r="P89" s="635"/>
    </row>
    <row r="90" spans="1:16" ht="13.5" thickBot="1">
      <c r="C90" s="648"/>
      <c r="D90" s="79">
        <f>D8</f>
        <v>0</v>
      </c>
      <c r="E90" s="663"/>
      <c r="F90" s="663"/>
      <c r="G90" s="663"/>
      <c r="H90" s="649"/>
      <c r="I90" s="638"/>
      <c r="J90" s="638"/>
      <c r="K90" s="642"/>
      <c r="L90" s="638"/>
      <c r="M90" s="638"/>
      <c r="N90" s="638"/>
      <c r="O90" s="642"/>
      <c r="P90" s="635"/>
    </row>
    <row r="91" spans="1:16" ht="13.5" thickBot="1">
      <c r="C91" s="688" t="s">
        <v>93</v>
      </c>
      <c r="D91" s="689"/>
      <c r="E91" s="690"/>
      <c r="F91" s="690"/>
      <c r="G91" s="690"/>
      <c r="H91" s="690"/>
      <c r="I91" s="690"/>
      <c r="J91" s="690"/>
    </row>
    <row r="92" spans="1:16">
      <c r="C92" s="655" t="s">
        <v>226</v>
      </c>
      <c r="D92" s="691">
        <v>31450.100000000006</v>
      </c>
      <c r="E92" s="635" t="s">
        <v>94</v>
      </c>
      <c r="H92" s="636"/>
      <c r="I92" s="636"/>
      <c r="J92" s="449">
        <f>+'PSO.WS.G.BPU.ATRR.True-up'!M16</f>
        <v>2022</v>
      </c>
      <c r="K92" s="654"/>
      <c r="L92" s="642" t="s">
        <v>95</v>
      </c>
      <c r="P92" s="635"/>
    </row>
    <row r="93" spans="1:16">
      <c r="C93" s="657" t="s">
        <v>53</v>
      </c>
      <c r="D93" s="692">
        <f>+D11</f>
        <v>2022</v>
      </c>
      <c r="E93" s="657" t="s">
        <v>54</v>
      </c>
      <c r="F93" s="636"/>
      <c r="G93" s="636"/>
      <c r="J93" s="658">
        <v>0</v>
      </c>
      <c r="K93" s="659"/>
      <c r="L93" t="str">
        <f>"          INPUT TRUE-UP ARR (WITH &amp; WITHOUT INCENTIVES) FROM EACH PRIOR YEAR"</f>
        <v xml:space="preserve">          INPUT TRUE-UP ARR (WITH &amp; WITHOUT INCENTIVES) FROM EACH PRIOR YEAR</v>
      </c>
      <c r="P93" s="635"/>
    </row>
    <row r="94" spans="1:16">
      <c r="C94" s="657" t="s">
        <v>55</v>
      </c>
      <c r="D94" s="692">
        <f>+D12</f>
        <v>5</v>
      </c>
      <c r="E94" s="657" t="s">
        <v>56</v>
      </c>
      <c r="F94" s="636"/>
      <c r="G94" s="636"/>
      <c r="J94" s="660">
        <v>0.10781124580725182</v>
      </c>
      <c r="K94" s="637"/>
      <c r="L94" t="s">
        <v>96</v>
      </c>
      <c r="P94" s="635"/>
    </row>
    <row r="95" spans="1:16">
      <c r="C95" s="657" t="s">
        <v>58</v>
      </c>
      <c r="D95" s="658">
        <v>42</v>
      </c>
      <c r="E95" s="657" t="s">
        <v>59</v>
      </c>
      <c r="F95" s="636"/>
      <c r="G95" s="636"/>
      <c r="J95" s="660">
        <v>0.10781124580725182</v>
      </c>
      <c r="K95" s="637"/>
      <c r="L95" s="642" t="s">
        <v>60</v>
      </c>
      <c r="M95" s="637"/>
      <c r="N95" s="637"/>
      <c r="O95" s="637"/>
      <c r="P95" s="635"/>
    </row>
    <row r="96" spans="1:16" ht="13.5" thickBot="1">
      <c r="C96" s="657" t="s">
        <v>61</v>
      </c>
      <c r="D96" s="693" t="str">
        <f>+D14</f>
        <v>No</v>
      </c>
      <c r="E96" s="694" t="s">
        <v>63</v>
      </c>
      <c r="F96" s="695"/>
      <c r="G96" s="695"/>
      <c r="H96" s="92"/>
      <c r="I96" s="92"/>
      <c r="J96" s="647">
        <f>IF(D92=0,0,ROUND(D92/D95,0))</f>
        <v>749</v>
      </c>
      <c r="K96" s="642"/>
      <c r="L96" s="642"/>
      <c r="M96" s="642"/>
      <c r="N96" s="642"/>
      <c r="O96" s="642"/>
      <c r="P96" s="635"/>
    </row>
    <row r="97" spans="1:16" ht="38.25">
      <c r="A97" s="6"/>
      <c r="B97" s="6"/>
      <c r="C97" s="93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93" t="s">
        <v>98</v>
      </c>
      <c r="K97" s="95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6" t="s">
        <v>73</v>
      </c>
      <c r="I98" s="466" t="s">
        <v>74</v>
      </c>
      <c r="J98" s="57" t="s">
        <v>104</v>
      </c>
      <c r="K98" s="55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662">
        <f>IF(D93= "","-",D93)</f>
        <v>2022</v>
      </c>
      <c r="D99" s="663">
        <v>0</v>
      </c>
      <c r="E99" s="670">
        <f>IF(OR(D11=I10,D92&lt;100000),0,J$96/12*(12-D94))</f>
        <v>0</v>
      </c>
      <c r="F99" s="664">
        <f>IF(D93=C99,+D92-E99,+D99-E99)</f>
        <v>31450.100000000006</v>
      </c>
      <c r="G99" s="696">
        <f>+(F99+D99)/2</f>
        <v>15725.050000000003</v>
      </c>
      <c r="H99" s="696">
        <f>+J$94*G99+E99</f>
        <v>1695.3372308813255</v>
      </c>
      <c r="I99" s="696">
        <f>+J$95*G99+E99</f>
        <v>1695.3372308813255</v>
      </c>
      <c r="J99" s="669">
        <f>+I99-H99</f>
        <v>0</v>
      </c>
      <c r="K99" s="669"/>
      <c r="L99" s="668">
        <f>+H99</f>
        <v>1695.3372308813255</v>
      </c>
      <c r="M99" s="668">
        <f t="shared" ref="M99:M130" si="9">IF(L99&lt;&gt;0,+H99-L99,0)</f>
        <v>0</v>
      </c>
      <c r="N99" s="668">
        <f>+I99</f>
        <v>1695.3372308813255</v>
      </c>
      <c r="O99" s="668">
        <f t="shared" ref="O99:O130" si="10">IF(N99&lt;&gt;0,+I99-N99,0)</f>
        <v>0</v>
      </c>
      <c r="P99" s="668">
        <f t="shared" ref="P99:P130" si="11">+O99-M99</f>
        <v>0</v>
      </c>
    </row>
    <row r="100" spans="1:16">
      <c r="B100" s="9" t="str">
        <f>IF(D100=F99,"","IU")</f>
        <v/>
      </c>
      <c r="C100" s="662">
        <f>IF(D93="","-",+C99+1)</f>
        <v>2023</v>
      </c>
      <c r="D100" s="663">
        <f>IF(F99+SUM(E$99:E99)=D$92,F99,D$92-SUM(E$99:E99))</f>
        <v>31450.100000000006</v>
      </c>
      <c r="E100" s="484">
        <f>IF(+J$96&lt;F99,J$96,D100)</f>
        <v>749</v>
      </c>
      <c r="F100" s="664">
        <f>+D100-E100</f>
        <v>30701.100000000006</v>
      </c>
      <c r="G100" s="664">
        <f>+(F100+D100)/2</f>
        <v>31075.600000000006</v>
      </c>
      <c r="H100" s="701">
        <f t="shared" ref="H100:H154" si="12">+J$94*G100+E100</f>
        <v>4099.2991502078348</v>
      </c>
      <c r="I100" s="702">
        <f t="shared" ref="I100:I154" si="13">+J$95*G100+E100</f>
        <v>4099.2991502078348</v>
      </c>
      <c r="J100" s="669">
        <f t="shared" ref="J100:J130" si="14">+I100-H100</f>
        <v>0</v>
      </c>
      <c r="K100" s="669"/>
      <c r="L100" s="132"/>
      <c r="M100" s="669">
        <f t="shared" si="9"/>
        <v>0</v>
      </c>
      <c r="N100" s="132"/>
      <c r="O100" s="669">
        <f t="shared" si="10"/>
        <v>0</v>
      </c>
      <c r="P100" s="669">
        <f t="shared" si="11"/>
        <v>0</v>
      </c>
    </row>
    <row r="101" spans="1:16">
      <c r="B101" s="9" t="str">
        <f t="shared" ref="B101:B154" si="15">IF(D101=F100,"","IU")</f>
        <v/>
      </c>
      <c r="C101" s="662">
        <f>IF(D93="","-",+C100+1)</f>
        <v>2024</v>
      </c>
      <c r="D101" s="663">
        <f>IF(F100+SUM(E$99:E100)=D$92,F100,D$92-SUM(E$99:E100))</f>
        <v>30701.100000000006</v>
      </c>
      <c r="E101" s="484">
        <f t="shared" ref="E101:E154" si="16">IF(+J$96&lt;F100,J$96,D101)</f>
        <v>749</v>
      </c>
      <c r="F101" s="664">
        <f t="shared" ref="F101:F154" si="17">+D101-E101</f>
        <v>29952.100000000006</v>
      </c>
      <c r="G101" s="664">
        <f t="shared" ref="G101:G154" si="18">+(F101+D101)/2</f>
        <v>30326.600000000006</v>
      </c>
      <c r="H101" s="701">
        <f t="shared" si="12"/>
        <v>4018.5485270982035</v>
      </c>
      <c r="I101" s="702">
        <f t="shared" si="13"/>
        <v>4018.5485270982035</v>
      </c>
      <c r="J101" s="669">
        <f t="shared" si="14"/>
        <v>0</v>
      </c>
      <c r="K101" s="669"/>
      <c r="L101" s="132"/>
      <c r="M101" s="669">
        <f t="shared" si="9"/>
        <v>0</v>
      </c>
      <c r="N101" s="132"/>
      <c r="O101" s="669">
        <f t="shared" si="10"/>
        <v>0</v>
      </c>
      <c r="P101" s="669">
        <f t="shared" si="11"/>
        <v>0</v>
      </c>
    </row>
    <row r="102" spans="1:16">
      <c r="B102" s="9" t="str">
        <f t="shared" si="15"/>
        <v/>
      </c>
      <c r="C102" s="662">
        <f>IF(D93="","-",+C101+1)</f>
        <v>2025</v>
      </c>
      <c r="D102" s="663">
        <f>IF(F101+SUM(E$99:E101)=D$92,F101,D$92-SUM(E$99:E101))</f>
        <v>29952.100000000006</v>
      </c>
      <c r="E102" s="484">
        <f t="shared" si="16"/>
        <v>749</v>
      </c>
      <c r="F102" s="664">
        <f t="shared" si="17"/>
        <v>29203.100000000006</v>
      </c>
      <c r="G102" s="664">
        <f t="shared" si="18"/>
        <v>29577.600000000006</v>
      </c>
      <c r="H102" s="701">
        <f t="shared" si="12"/>
        <v>3937.7979039885722</v>
      </c>
      <c r="I102" s="702">
        <f t="shared" si="13"/>
        <v>3937.7979039885722</v>
      </c>
      <c r="J102" s="669">
        <f t="shared" si="14"/>
        <v>0</v>
      </c>
      <c r="K102" s="669"/>
      <c r="L102" s="132"/>
      <c r="M102" s="669">
        <f t="shared" si="9"/>
        <v>0</v>
      </c>
      <c r="N102" s="132"/>
      <c r="O102" s="669">
        <f t="shared" si="10"/>
        <v>0</v>
      </c>
      <c r="P102" s="669">
        <f t="shared" si="11"/>
        <v>0</v>
      </c>
    </row>
    <row r="103" spans="1:16">
      <c r="B103" s="9" t="str">
        <f t="shared" si="15"/>
        <v/>
      </c>
      <c r="C103" s="662">
        <f>IF(D93="","-",+C102+1)</f>
        <v>2026</v>
      </c>
      <c r="D103" s="663">
        <f>IF(F102+SUM(E$99:E102)=D$92,F102,D$92-SUM(E$99:E102))</f>
        <v>29203.100000000006</v>
      </c>
      <c r="E103" s="484">
        <f t="shared" si="16"/>
        <v>749</v>
      </c>
      <c r="F103" s="664">
        <f t="shared" si="17"/>
        <v>28454.100000000006</v>
      </c>
      <c r="G103" s="664">
        <f t="shared" si="18"/>
        <v>28828.600000000006</v>
      </c>
      <c r="H103" s="701">
        <f t="shared" si="12"/>
        <v>3857.0472808789405</v>
      </c>
      <c r="I103" s="702">
        <f t="shared" si="13"/>
        <v>3857.0472808789405</v>
      </c>
      <c r="J103" s="669">
        <f t="shared" si="14"/>
        <v>0</v>
      </c>
      <c r="K103" s="669"/>
      <c r="L103" s="132"/>
      <c r="M103" s="669">
        <f t="shared" si="9"/>
        <v>0</v>
      </c>
      <c r="N103" s="132"/>
      <c r="O103" s="669">
        <f t="shared" si="10"/>
        <v>0</v>
      </c>
      <c r="P103" s="669">
        <f t="shared" si="11"/>
        <v>0</v>
      </c>
    </row>
    <row r="104" spans="1:16">
      <c r="B104" s="9" t="str">
        <f t="shared" si="15"/>
        <v/>
      </c>
      <c r="C104" s="662">
        <f>IF(D93="","-",+C103+1)</f>
        <v>2027</v>
      </c>
      <c r="D104" s="663">
        <f>IF(F103+SUM(E$99:E103)=D$92,F103,D$92-SUM(E$99:E103))</f>
        <v>28454.100000000006</v>
      </c>
      <c r="E104" s="484">
        <f t="shared" si="16"/>
        <v>749</v>
      </c>
      <c r="F104" s="664">
        <f t="shared" si="17"/>
        <v>27705.100000000006</v>
      </c>
      <c r="G104" s="664">
        <f t="shared" si="18"/>
        <v>28079.600000000006</v>
      </c>
      <c r="H104" s="701">
        <f t="shared" si="12"/>
        <v>3776.2966577693087</v>
      </c>
      <c r="I104" s="702">
        <f t="shared" si="13"/>
        <v>3776.2966577693087</v>
      </c>
      <c r="J104" s="669">
        <f t="shared" si="14"/>
        <v>0</v>
      </c>
      <c r="K104" s="669"/>
      <c r="L104" s="132"/>
      <c r="M104" s="669">
        <f t="shared" si="9"/>
        <v>0</v>
      </c>
      <c r="N104" s="132"/>
      <c r="O104" s="669">
        <f t="shared" si="10"/>
        <v>0</v>
      </c>
      <c r="P104" s="669">
        <f t="shared" si="11"/>
        <v>0</v>
      </c>
    </row>
    <row r="105" spans="1:16">
      <c r="B105" s="9" t="str">
        <f t="shared" si="15"/>
        <v/>
      </c>
      <c r="C105" s="662">
        <f>IF(D93="","-",+C104+1)</f>
        <v>2028</v>
      </c>
      <c r="D105" s="663">
        <f>IF(F104+SUM(E$99:E104)=D$92,F104,D$92-SUM(E$99:E104))</f>
        <v>27705.100000000006</v>
      </c>
      <c r="E105" s="484">
        <f t="shared" si="16"/>
        <v>749</v>
      </c>
      <c r="F105" s="664">
        <f t="shared" si="17"/>
        <v>26956.100000000006</v>
      </c>
      <c r="G105" s="664">
        <f t="shared" si="18"/>
        <v>27330.600000000006</v>
      </c>
      <c r="H105" s="701">
        <f t="shared" si="12"/>
        <v>3695.5460346596774</v>
      </c>
      <c r="I105" s="702">
        <f t="shared" si="13"/>
        <v>3695.5460346596774</v>
      </c>
      <c r="J105" s="669">
        <f t="shared" si="14"/>
        <v>0</v>
      </c>
      <c r="K105" s="669"/>
      <c r="L105" s="132"/>
      <c r="M105" s="669">
        <f t="shared" si="9"/>
        <v>0</v>
      </c>
      <c r="N105" s="132"/>
      <c r="O105" s="669">
        <f t="shared" si="10"/>
        <v>0</v>
      </c>
      <c r="P105" s="669">
        <f t="shared" si="11"/>
        <v>0</v>
      </c>
    </row>
    <row r="106" spans="1:16">
      <c r="B106" s="9" t="str">
        <f t="shared" si="15"/>
        <v/>
      </c>
      <c r="C106" s="662">
        <f>IF(D93="","-",+C105+1)</f>
        <v>2029</v>
      </c>
      <c r="D106" s="663">
        <f>IF(F105+SUM(E$99:E105)=D$92,F105,D$92-SUM(E$99:E105))</f>
        <v>26956.100000000006</v>
      </c>
      <c r="E106" s="484">
        <f t="shared" si="16"/>
        <v>749</v>
      </c>
      <c r="F106" s="664">
        <f t="shared" si="17"/>
        <v>26207.100000000006</v>
      </c>
      <c r="G106" s="664">
        <f t="shared" si="18"/>
        <v>26581.600000000006</v>
      </c>
      <c r="H106" s="701">
        <f t="shared" si="12"/>
        <v>3614.7954115500456</v>
      </c>
      <c r="I106" s="702">
        <f t="shared" si="13"/>
        <v>3614.7954115500456</v>
      </c>
      <c r="J106" s="669">
        <f t="shared" si="14"/>
        <v>0</v>
      </c>
      <c r="K106" s="669"/>
      <c r="L106" s="132"/>
      <c r="M106" s="669">
        <f t="shared" si="9"/>
        <v>0</v>
      </c>
      <c r="N106" s="132"/>
      <c r="O106" s="669">
        <f t="shared" si="10"/>
        <v>0</v>
      </c>
      <c r="P106" s="669">
        <f t="shared" si="11"/>
        <v>0</v>
      </c>
    </row>
    <row r="107" spans="1:16">
      <c r="B107" s="9" t="str">
        <f t="shared" si="15"/>
        <v/>
      </c>
      <c r="C107" s="662">
        <f>IF(D93="","-",+C106+1)</f>
        <v>2030</v>
      </c>
      <c r="D107" s="663">
        <f>IF(F106+SUM(E$99:E106)=D$92,F106,D$92-SUM(E$99:E106))</f>
        <v>26207.100000000006</v>
      </c>
      <c r="E107" s="484">
        <f t="shared" si="16"/>
        <v>749</v>
      </c>
      <c r="F107" s="664">
        <f t="shared" si="17"/>
        <v>25458.100000000006</v>
      </c>
      <c r="G107" s="664">
        <f t="shared" si="18"/>
        <v>25832.600000000006</v>
      </c>
      <c r="H107" s="701">
        <f t="shared" si="12"/>
        <v>3534.0447884404139</v>
      </c>
      <c r="I107" s="702">
        <f t="shared" si="13"/>
        <v>3534.0447884404139</v>
      </c>
      <c r="J107" s="669">
        <f t="shared" si="14"/>
        <v>0</v>
      </c>
      <c r="K107" s="669"/>
      <c r="L107" s="132"/>
      <c r="M107" s="669">
        <f t="shared" si="9"/>
        <v>0</v>
      </c>
      <c r="N107" s="132"/>
      <c r="O107" s="669">
        <f t="shared" si="10"/>
        <v>0</v>
      </c>
      <c r="P107" s="669">
        <f t="shared" si="11"/>
        <v>0</v>
      </c>
    </row>
    <row r="108" spans="1:16">
      <c r="B108" s="9" t="str">
        <f t="shared" si="15"/>
        <v/>
      </c>
      <c r="C108" s="662">
        <f>IF(D93="","-",+C107+1)</f>
        <v>2031</v>
      </c>
      <c r="D108" s="663">
        <f>IF(F107+SUM(E$99:E107)=D$92,F107,D$92-SUM(E$99:E107))</f>
        <v>25458.100000000006</v>
      </c>
      <c r="E108" s="484">
        <f t="shared" si="16"/>
        <v>749</v>
      </c>
      <c r="F108" s="664">
        <f t="shared" si="17"/>
        <v>24709.100000000006</v>
      </c>
      <c r="G108" s="664">
        <f t="shared" si="18"/>
        <v>25083.600000000006</v>
      </c>
      <c r="H108" s="701">
        <f t="shared" si="12"/>
        <v>3453.2941653307826</v>
      </c>
      <c r="I108" s="702">
        <f t="shared" si="13"/>
        <v>3453.2941653307826</v>
      </c>
      <c r="J108" s="669">
        <f t="shared" si="14"/>
        <v>0</v>
      </c>
      <c r="K108" s="669"/>
      <c r="L108" s="132"/>
      <c r="M108" s="669">
        <f t="shared" si="9"/>
        <v>0</v>
      </c>
      <c r="N108" s="132"/>
      <c r="O108" s="669">
        <f t="shared" si="10"/>
        <v>0</v>
      </c>
      <c r="P108" s="669">
        <f t="shared" si="11"/>
        <v>0</v>
      </c>
    </row>
    <row r="109" spans="1:16">
      <c r="B109" s="9" t="str">
        <f t="shared" si="15"/>
        <v/>
      </c>
      <c r="C109" s="662">
        <f>IF(D93="","-",+C108+1)</f>
        <v>2032</v>
      </c>
      <c r="D109" s="663">
        <f>IF(F108+SUM(E$99:E108)=D$92,F108,D$92-SUM(E$99:E108))</f>
        <v>24709.100000000006</v>
      </c>
      <c r="E109" s="484">
        <f t="shared" si="16"/>
        <v>749</v>
      </c>
      <c r="F109" s="664">
        <f t="shared" si="17"/>
        <v>23960.100000000006</v>
      </c>
      <c r="G109" s="664">
        <f t="shared" si="18"/>
        <v>24334.600000000006</v>
      </c>
      <c r="H109" s="701">
        <f t="shared" si="12"/>
        <v>3372.5435422211508</v>
      </c>
      <c r="I109" s="702">
        <f t="shared" si="13"/>
        <v>3372.5435422211508</v>
      </c>
      <c r="J109" s="669">
        <f t="shared" si="14"/>
        <v>0</v>
      </c>
      <c r="K109" s="669"/>
      <c r="L109" s="132"/>
      <c r="M109" s="669">
        <f t="shared" si="9"/>
        <v>0</v>
      </c>
      <c r="N109" s="132"/>
      <c r="O109" s="669">
        <f t="shared" si="10"/>
        <v>0</v>
      </c>
      <c r="P109" s="669">
        <f t="shared" si="11"/>
        <v>0</v>
      </c>
    </row>
    <row r="110" spans="1:16">
      <c r="B110" s="9" t="str">
        <f t="shared" si="15"/>
        <v/>
      </c>
      <c r="C110" s="662">
        <f>IF(D93="","-",+C109+1)</f>
        <v>2033</v>
      </c>
      <c r="D110" s="663">
        <f>IF(F109+SUM(E$99:E109)=D$92,F109,D$92-SUM(E$99:E109))</f>
        <v>23960.100000000006</v>
      </c>
      <c r="E110" s="484">
        <f t="shared" si="16"/>
        <v>749</v>
      </c>
      <c r="F110" s="664">
        <f t="shared" si="17"/>
        <v>23211.100000000006</v>
      </c>
      <c r="G110" s="664">
        <f t="shared" si="18"/>
        <v>23585.600000000006</v>
      </c>
      <c r="H110" s="701">
        <f t="shared" si="12"/>
        <v>3291.792919111519</v>
      </c>
      <c r="I110" s="702">
        <f t="shared" si="13"/>
        <v>3291.792919111519</v>
      </c>
      <c r="J110" s="669">
        <f t="shared" si="14"/>
        <v>0</v>
      </c>
      <c r="K110" s="669"/>
      <c r="L110" s="132"/>
      <c r="M110" s="669">
        <f t="shared" si="9"/>
        <v>0</v>
      </c>
      <c r="N110" s="132"/>
      <c r="O110" s="669">
        <f t="shared" si="10"/>
        <v>0</v>
      </c>
      <c r="P110" s="669">
        <f t="shared" si="11"/>
        <v>0</v>
      </c>
    </row>
    <row r="111" spans="1:16">
      <c r="B111" s="9" t="str">
        <f t="shared" si="15"/>
        <v/>
      </c>
      <c r="C111" s="662">
        <f>IF(D93="","-",+C110+1)</f>
        <v>2034</v>
      </c>
      <c r="D111" s="663">
        <f>IF(F110+SUM(E$99:E110)=D$92,F110,D$92-SUM(E$99:E110))</f>
        <v>23211.100000000006</v>
      </c>
      <c r="E111" s="484">
        <f t="shared" si="16"/>
        <v>749</v>
      </c>
      <c r="F111" s="664">
        <f t="shared" si="17"/>
        <v>22462.100000000006</v>
      </c>
      <c r="G111" s="664">
        <f t="shared" si="18"/>
        <v>22836.600000000006</v>
      </c>
      <c r="H111" s="701">
        <f t="shared" si="12"/>
        <v>3211.0422960018877</v>
      </c>
      <c r="I111" s="702">
        <f t="shared" si="13"/>
        <v>3211.0422960018877</v>
      </c>
      <c r="J111" s="669">
        <f t="shared" si="14"/>
        <v>0</v>
      </c>
      <c r="K111" s="669"/>
      <c r="L111" s="132"/>
      <c r="M111" s="669">
        <f t="shared" si="9"/>
        <v>0</v>
      </c>
      <c r="N111" s="132"/>
      <c r="O111" s="669">
        <f t="shared" si="10"/>
        <v>0</v>
      </c>
      <c r="P111" s="669">
        <f t="shared" si="11"/>
        <v>0</v>
      </c>
    </row>
    <row r="112" spans="1:16">
      <c r="B112" s="9" t="str">
        <f t="shared" si="15"/>
        <v/>
      </c>
      <c r="C112" s="662">
        <f>IF(D93="","-",+C111+1)</f>
        <v>2035</v>
      </c>
      <c r="D112" s="663">
        <f>IF(F111+SUM(E$99:E111)=D$92,F111,D$92-SUM(E$99:E111))</f>
        <v>22462.100000000006</v>
      </c>
      <c r="E112" s="484">
        <f t="shared" si="16"/>
        <v>749</v>
      </c>
      <c r="F112" s="664">
        <f t="shared" si="17"/>
        <v>21713.100000000006</v>
      </c>
      <c r="G112" s="664">
        <f t="shared" si="18"/>
        <v>22087.600000000006</v>
      </c>
      <c r="H112" s="701">
        <f t="shared" si="12"/>
        <v>3130.291672892256</v>
      </c>
      <c r="I112" s="702">
        <f t="shared" si="13"/>
        <v>3130.291672892256</v>
      </c>
      <c r="J112" s="669">
        <f t="shared" si="14"/>
        <v>0</v>
      </c>
      <c r="K112" s="669"/>
      <c r="L112" s="132"/>
      <c r="M112" s="669">
        <f t="shared" si="9"/>
        <v>0</v>
      </c>
      <c r="N112" s="132"/>
      <c r="O112" s="669">
        <f t="shared" si="10"/>
        <v>0</v>
      </c>
      <c r="P112" s="669">
        <f t="shared" si="11"/>
        <v>0</v>
      </c>
    </row>
    <row r="113" spans="2:16">
      <c r="B113" s="9" t="str">
        <f t="shared" si="15"/>
        <v/>
      </c>
      <c r="C113" s="662">
        <f>IF(D93="","-",+C112+1)</f>
        <v>2036</v>
      </c>
      <c r="D113" s="663">
        <f>IF(F112+SUM(E$99:E112)=D$92,F112,D$92-SUM(E$99:E112))</f>
        <v>21713.100000000006</v>
      </c>
      <c r="E113" s="484">
        <f t="shared" si="16"/>
        <v>749</v>
      </c>
      <c r="F113" s="664">
        <f t="shared" si="17"/>
        <v>20964.100000000006</v>
      </c>
      <c r="G113" s="664">
        <f t="shared" si="18"/>
        <v>21338.600000000006</v>
      </c>
      <c r="H113" s="701">
        <f t="shared" si="12"/>
        <v>3049.5410497826242</v>
      </c>
      <c r="I113" s="702">
        <f t="shared" si="13"/>
        <v>3049.5410497826242</v>
      </c>
      <c r="J113" s="669">
        <f t="shared" si="14"/>
        <v>0</v>
      </c>
      <c r="K113" s="669"/>
      <c r="L113" s="132"/>
      <c r="M113" s="669">
        <f t="shared" si="9"/>
        <v>0</v>
      </c>
      <c r="N113" s="132"/>
      <c r="O113" s="669">
        <f t="shared" si="10"/>
        <v>0</v>
      </c>
      <c r="P113" s="669">
        <f t="shared" si="11"/>
        <v>0</v>
      </c>
    </row>
    <row r="114" spans="2:16">
      <c r="B114" s="9" t="str">
        <f t="shared" si="15"/>
        <v/>
      </c>
      <c r="C114" s="662">
        <f>IF(D93="","-",+C113+1)</f>
        <v>2037</v>
      </c>
      <c r="D114" s="663">
        <f>IF(F113+SUM(E$99:E113)=D$92,F113,D$92-SUM(E$99:E113))</f>
        <v>20964.100000000006</v>
      </c>
      <c r="E114" s="484">
        <f t="shared" si="16"/>
        <v>749</v>
      </c>
      <c r="F114" s="664">
        <f t="shared" si="17"/>
        <v>20215.100000000006</v>
      </c>
      <c r="G114" s="664">
        <f t="shared" si="18"/>
        <v>20589.600000000006</v>
      </c>
      <c r="H114" s="701">
        <f t="shared" si="12"/>
        <v>2968.7904266729929</v>
      </c>
      <c r="I114" s="702">
        <f t="shared" si="13"/>
        <v>2968.7904266729929</v>
      </c>
      <c r="J114" s="669">
        <f t="shared" si="14"/>
        <v>0</v>
      </c>
      <c r="K114" s="669"/>
      <c r="L114" s="132"/>
      <c r="M114" s="669">
        <f t="shared" si="9"/>
        <v>0</v>
      </c>
      <c r="N114" s="132"/>
      <c r="O114" s="669">
        <f t="shared" si="10"/>
        <v>0</v>
      </c>
      <c r="P114" s="669">
        <f t="shared" si="11"/>
        <v>0</v>
      </c>
    </row>
    <row r="115" spans="2:16">
      <c r="B115" s="9" t="str">
        <f t="shared" si="15"/>
        <v/>
      </c>
      <c r="C115" s="662">
        <f>IF(D93="","-",+C114+1)</f>
        <v>2038</v>
      </c>
      <c r="D115" s="663">
        <f>IF(F114+SUM(E$99:E114)=D$92,F114,D$92-SUM(E$99:E114))</f>
        <v>20215.100000000006</v>
      </c>
      <c r="E115" s="484">
        <f t="shared" si="16"/>
        <v>749</v>
      </c>
      <c r="F115" s="664">
        <f t="shared" si="17"/>
        <v>19466.100000000006</v>
      </c>
      <c r="G115" s="664">
        <f t="shared" si="18"/>
        <v>19840.600000000006</v>
      </c>
      <c r="H115" s="701">
        <f t="shared" si="12"/>
        <v>2888.0398035633611</v>
      </c>
      <c r="I115" s="702">
        <f t="shared" si="13"/>
        <v>2888.0398035633611</v>
      </c>
      <c r="J115" s="669">
        <f t="shared" si="14"/>
        <v>0</v>
      </c>
      <c r="K115" s="669"/>
      <c r="L115" s="132"/>
      <c r="M115" s="669">
        <f t="shared" si="9"/>
        <v>0</v>
      </c>
      <c r="N115" s="132"/>
      <c r="O115" s="669">
        <f t="shared" si="10"/>
        <v>0</v>
      </c>
      <c r="P115" s="669">
        <f t="shared" si="11"/>
        <v>0</v>
      </c>
    </row>
    <row r="116" spans="2:16">
      <c r="B116" s="9" t="str">
        <f t="shared" si="15"/>
        <v/>
      </c>
      <c r="C116" s="662">
        <f>IF(D93="","-",+C115+1)</f>
        <v>2039</v>
      </c>
      <c r="D116" s="663">
        <f>IF(F115+SUM(E$99:E115)=D$92,F115,D$92-SUM(E$99:E115))</f>
        <v>19466.100000000006</v>
      </c>
      <c r="E116" s="484">
        <f t="shared" si="16"/>
        <v>749</v>
      </c>
      <c r="F116" s="664">
        <f t="shared" si="17"/>
        <v>18717.100000000006</v>
      </c>
      <c r="G116" s="664">
        <f t="shared" si="18"/>
        <v>19091.600000000006</v>
      </c>
      <c r="H116" s="701">
        <f t="shared" si="12"/>
        <v>2807.2891804537294</v>
      </c>
      <c r="I116" s="702">
        <f t="shared" si="13"/>
        <v>2807.2891804537294</v>
      </c>
      <c r="J116" s="669">
        <f t="shared" si="14"/>
        <v>0</v>
      </c>
      <c r="K116" s="669"/>
      <c r="L116" s="132"/>
      <c r="M116" s="669">
        <f t="shared" si="9"/>
        <v>0</v>
      </c>
      <c r="N116" s="132"/>
      <c r="O116" s="669">
        <f t="shared" si="10"/>
        <v>0</v>
      </c>
      <c r="P116" s="669">
        <f t="shared" si="11"/>
        <v>0</v>
      </c>
    </row>
    <row r="117" spans="2:16">
      <c r="B117" s="9" t="str">
        <f t="shared" si="15"/>
        <v/>
      </c>
      <c r="C117" s="662">
        <f>IF(D93="","-",+C116+1)</f>
        <v>2040</v>
      </c>
      <c r="D117" s="663">
        <f>IF(F116+SUM(E$99:E116)=D$92,F116,D$92-SUM(E$99:E116))</f>
        <v>18717.100000000006</v>
      </c>
      <c r="E117" s="484">
        <f t="shared" si="16"/>
        <v>749</v>
      </c>
      <c r="F117" s="664">
        <f t="shared" si="17"/>
        <v>17968.100000000006</v>
      </c>
      <c r="G117" s="664">
        <f t="shared" si="18"/>
        <v>18342.600000000006</v>
      </c>
      <c r="H117" s="701">
        <f t="shared" si="12"/>
        <v>2726.5385573440981</v>
      </c>
      <c r="I117" s="702">
        <f t="shared" si="13"/>
        <v>2726.5385573440981</v>
      </c>
      <c r="J117" s="669">
        <f t="shared" si="14"/>
        <v>0</v>
      </c>
      <c r="K117" s="669"/>
      <c r="L117" s="132"/>
      <c r="M117" s="669">
        <f t="shared" si="9"/>
        <v>0</v>
      </c>
      <c r="N117" s="132"/>
      <c r="O117" s="669">
        <f t="shared" si="10"/>
        <v>0</v>
      </c>
      <c r="P117" s="669">
        <f t="shared" si="11"/>
        <v>0</v>
      </c>
    </row>
    <row r="118" spans="2:16">
      <c r="B118" s="9" t="str">
        <f t="shared" si="15"/>
        <v/>
      </c>
      <c r="C118" s="662">
        <f>IF(D93="","-",+C117+1)</f>
        <v>2041</v>
      </c>
      <c r="D118" s="663">
        <f>IF(F117+SUM(E$99:E117)=D$92,F117,D$92-SUM(E$99:E117))</f>
        <v>17968.100000000006</v>
      </c>
      <c r="E118" s="484">
        <f t="shared" si="16"/>
        <v>749</v>
      </c>
      <c r="F118" s="664">
        <f t="shared" si="17"/>
        <v>17219.100000000006</v>
      </c>
      <c r="G118" s="664">
        <f t="shared" si="18"/>
        <v>17593.600000000006</v>
      </c>
      <c r="H118" s="701">
        <f t="shared" si="12"/>
        <v>2645.7879342344663</v>
      </c>
      <c r="I118" s="702">
        <f t="shared" si="13"/>
        <v>2645.7879342344663</v>
      </c>
      <c r="J118" s="669">
        <f t="shared" si="14"/>
        <v>0</v>
      </c>
      <c r="K118" s="669"/>
      <c r="L118" s="132"/>
      <c r="M118" s="669">
        <f t="shared" si="9"/>
        <v>0</v>
      </c>
      <c r="N118" s="132"/>
      <c r="O118" s="669">
        <f t="shared" si="10"/>
        <v>0</v>
      </c>
      <c r="P118" s="669">
        <f t="shared" si="11"/>
        <v>0</v>
      </c>
    </row>
    <row r="119" spans="2:16">
      <c r="B119" s="9" t="str">
        <f t="shared" si="15"/>
        <v/>
      </c>
      <c r="C119" s="662">
        <f>IF(D93="","-",+C118+1)</f>
        <v>2042</v>
      </c>
      <c r="D119" s="663">
        <f>IF(F118+SUM(E$99:E118)=D$92,F118,D$92-SUM(E$99:E118))</f>
        <v>17219.100000000006</v>
      </c>
      <c r="E119" s="484">
        <f t="shared" si="16"/>
        <v>749</v>
      </c>
      <c r="F119" s="664">
        <f t="shared" si="17"/>
        <v>16470.100000000006</v>
      </c>
      <c r="G119" s="664">
        <f t="shared" si="18"/>
        <v>16844.600000000006</v>
      </c>
      <c r="H119" s="701">
        <f t="shared" si="12"/>
        <v>2565.0373111248346</v>
      </c>
      <c r="I119" s="702">
        <f t="shared" si="13"/>
        <v>2565.0373111248346</v>
      </c>
      <c r="J119" s="669">
        <f t="shared" si="14"/>
        <v>0</v>
      </c>
      <c r="K119" s="669"/>
      <c r="L119" s="132"/>
      <c r="M119" s="669">
        <f t="shared" si="9"/>
        <v>0</v>
      </c>
      <c r="N119" s="132"/>
      <c r="O119" s="669">
        <f t="shared" si="10"/>
        <v>0</v>
      </c>
      <c r="P119" s="669">
        <f t="shared" si="11"/>
        <v>0</v>
      </c>
    </row>
    <row r="120" spans="2:16">
      <c r="B120" s="9" t="str">
        <f t="shared" si="15"/>
        <v/>
      </c>
      <c r="C120" s="662">
        <f>IF(D93="","-",+C119+1)</f>
        <v>2043</v>
      </c>
      <c r="D120" s="663">
        <f>IF(F119+SUM(E$99:E119)=D$92,F119,D$92-SUM(E$99:E119))</f>
        <v>16470.100000000006</v>
      </c>
      <c r="E120" s="484">
        <f t="shared" si="16"/>
        <v>749</v>
      </c>
      <c r="F120" s="664">
        <f t="shared" si="17"/>
        <v>15721.100000000006</v>
      </c>
      <c r="G120" s="664">
        <f t="shared" si="18"/>
        <v>16095.600000000006</v>
      </c>
      <c r="H120" s="701">
        <f t="shared" si="12"/>
        <v>2484.2866880152033</v>
      </c>
      <c r="I120" s="702">
        <f t="shared" si="13"/>
        <v>2484.2866880152033</v>
      </c>
      <c r="J120" s="669">
        <f t="shared" si="14"/>
        <v>0</v>
      </c>
      <c r="K120" s="669"/>
      <c r="L120" s="132"/>
      <c r="M120" s="669">
        <f t="shared" si="9"/>
        <v>0</v>
      </c>
      <c r="N120" s="132"/>
      <c r="O120" s="669">
        <f t="shared" si="10"/>
        <v>0</v>
      </c>
      <c r="P120" s="669">
        <f t="shared" si="11"/>
        <v>0</v>
      </c>
    </row>
    <row r="121" spans="2:16">
      <c r="B121" s="9" t="str">
        <f t="shared" si="15"/>
        <v/>
      </c>
      <c r="C121" s="662">
        <f>IF(D93="","-",+C120+1)</f>
        <v>2044</v>
      </c>
      <c r="D121" s="663">
        <f>IF(F120+SUM(E$99:E120)=D$92,F120,D$92-SUM(E$99:E120))</f>
        <v>15721.100000000006</v>
      </c>
      <c r="E121" s="484">
        <f t="shared" si="16"/>
        <v>749</v>
      </c>
      <c r="F121" s="664">
        <f t="shared" si="17"/>
        <v>14972.100000000006</v>
      </c>
      <c r="G121" s="664">
        <f t="shared" si="18"/>
        <v>15346.600000000006</v>
      </c>
      <c r="H121" s="701">
        <f t="shared" si="12"/>
        <v>2403.5360649055715</v>
      </c>
      <c r="I121" s="702">
        <f t="shared" si="13"/>
        <v>2403.5360649055715</v>
      </c>
      <c r="J121" s="669">
        <f t="shared" si="14"/>
        <v>0</v>
      </c>
      <c r="K121" s="669"/>
      <c r="L121" s="132"/>
      <c r="M121" s="669">
        <f t="shared" si="9"/>
        <v>0</v>
      </c>
      <c r="N121" s="132"/>
      <c r="O121" s="669">
        <f t="shared" si="10"/>
        <v>0</v>
      </c>
      <c r="P121" s="669">
        <f t="shared" si="11"/>
        <v>0</v>
      </c>
    </row>
    <row r="122" spans="2:16">
      <c r="B122" s="9" t="str">
        <f t="shared" si="15"/>
        <v/>
      </c>
      <c r="C122" s="662">
        <f>IF(D93="","-",+C121+1)</f>
        <v>2045</v>
      </c>
      <c r="D122" s="663">
        <f>IF(F121+SUM(E$99:E121)=D$92,F121,D$92-SUM(E$99:E121))</f>
        <v>14972.100000000006</v>
      </c>
      <c r="E122" s="484">
        <f t="shared" si="16"/>
        <v>749</v>
      </c>
      <c r="F122" s="664">
        <f t="shared" si="17"/>
        <v>14223.100000000006</v>
      </c>
      <c r="G122" s="664">
        <f t="shared" si="18"/>
        <v>14597.600000000006</v>
      </c>
      <c r="H122" s="701">
        <f t="shared" si="12"/>
        <v>2322.7854417959397</v>
      </c>
      <c r="I122" s="702">
        <f t="shared" si="13"/>
        <v>2322.7854417959397</v>
      </c>
      <c r="J122" s="669">
        <f t="shared" si="14"/>
        <v>0</v>
      </c>
      <c r="K122" s="669"/>
      <c r="L122" s="132"/>
      <c r="M122" s="669">
        <f t="shared" si="9"/>
        <v>0</v>
      </c>
      <c r="N122" s="132"/>
      <c r="O122" s="669">
        <f t="shared" si="10"/>
        <v>0</v>
      </c>
      <c r="P122" s="669">
        <f t="shared" si="11"/>
        <v>0</v>
      </c>
    </row>
    <row r="123" spans="2:16">
      <c r="B123" s="9" t="str">
        <f t="shared" si="15"/>
        <v/>
      </c>
      <c r="C123" s="662">
        <f>IF(D93="","-",+C122+1)</f>
        <v>2046</v>
      </c>
      <c r="D123" s="663">
        <f>IF(F122+SUM(E$99:E122)=D$92,F122,D$92-SUM(E$99:E122))</f>
        <v>14223.100000000006</v>
      </c>
      <c r="E123" s="484">
        <f t="shared" si="16"/>
        <v>749</v>
      </c>
      <c r="F123" s="664">
        <f t="shared" si="17"/>
        <v>13474.100000000006</v>
      </c>
      <c r="G123" s="664">
        <f t="shared" si="18"/>
        <v>13848.600000000006</v>
      </c>
      <c r="H123" s="701">
        <f t="shared" si="12"/>
        <v>2242.0348186863084</v>
      </c>
      <c r="I123" s="702">
        <f t="shared" si="13"/>
        <v>2242.0348186863084</v>
      </c>
      <c r="J123" s="669">
        <f t="shared" si="14"/>
        <v>0</v>
      </c>
      <c r="K123" s="669"/>
      <c r="L123" s="132"/>
      <c r="M123" s="669">
        <f t="shared" si="9"/>
        <v>0</v>
      </c>
      <c r="N123" s="132"/>
      <c r="O123" s="669">
        <f t="shared" si="10"/>
        <v>0</v>
      </c>
      <c r="P123" s="669">
        <f t="shared" si="11"/>
        <v>0</v>
      </c>
    </row>
    <row r="124" spans="2:16">
      <c r="B124" s="9" t="str">
        <f t="shared" si="15"/>
        <v/>
      </c>
      <c r="C124" s="662">
        <f>IF(D93="","-",+C123+1)</f>
        <v>2047</v>
      </c>
      <c r="D124" s="663">
        <f>IF(F123+SUM(E$99:E123)=D$92,F123,D$92-SUM(E$99:E123))</f>
        <v>13474.100000000006</v>
      </c>
      <c r="E124" s="484">
        <f t="shared" si="16"/>
        <v>749</v>
      </c>
      <c r="F124" s="664">
        <f t="shared" si="17"/>
        <v>12725.100000000006</v>
      </c>
      <c r="G124" s="664">
        <f t="shared" si="18"/>
        <v>13099.600000000006</v>
      </c>
      <c r="H124" s="701">
        <f t="shared" si="12"/>
        <v>2161.2841955766767</v>
      </c>
      <c r="I124" s="702">
        <f t="shared" si="13"/>
        <v>2161.2841955766767</v>
      </c>
      <c r="J124" s="669">
        <f t="shared" si="14"/>
        <v>0</v>
      </c>
      <c r="K124" s="669"/>
      <c r="L124" s="132"/>
      <c r="M124" s="669">
        <f t="shared" si="9"/>
        <v>0</v>
      </c>
      <c r="N124" s="132"/>
      <c r="O124" s="669">
        <f t="shared" si="10"/>
        <v>0</v>
      </c>
      <c r="P124" s="669">
        <f t="shared" si="11"/>
        <v>0</v>
      </c>
    </row>
    <row r="125" spans="2:16">
      <c r="B125" s="9" t="str">
        <f t="shared" si="15"/>
        <v/>
      </c>
      <c r="C125" s="662">
        <f>IF(D93="","-",+C124+1)</f>
        <v>2048</v>
      </c>
      <c r="D125" s="663">
        <f>IF(F124+SUM(E$99:E124)=D$92,F124,D$92-SUM(E$99:E124))</f>
        <v>12725.100000000006</v>
      </c>
      <c r="E125" s="484">
        <f t="shared" si="16"/>
        <v>749</v>
      </c>
      <c r="F125" s="664">
        <f t="shared" si="17"/>
        <v>11976.100000000006</v>
      </c>
      <c r="G125" s="664">
        <f t="shared" si="18"/>
        <v>12350.600000000006</v>
      </c>
      <c r="H125" s="701">
        <f t="shared" si="12"/>
        <v>2080.5335724670449</v>
      </c>
      <c r="I125" s="702">
        <f t="shared" si="13"/>
        <v>2080.5335724670449</v>
      </c>
      <c r="J125" s="669">
        <f t="shared" si="14"/>
        <v>0</v>
      </c>
      <c r="K125" s="669"/>
      <c r="L125" s="132"/>
      <c r="M125" s="669">
        <f t="shared" si="9"/>
        <v>0</v>
      </c>
      <c r="N125" s="132"/>
      <c r="O125" s="669">
        <f t="shared" si="10"/>
        <v>0</v>
      </c>
      <c r="P125" s="669">
        <f t="shared" si="11"/>
        <v>0</v>
      </c>
    </row>
    <row r="126" spans="2:16">
      <c r="B126" s="9" t="str">
        <f t="shared" si="15"/>
        <v/>
      </c>
      <c r="C126" s="662">
        <f>IF(D93="","-",+C125+1)</f>
        <v>2049</v>
      </c>
      <c r="D126" s="663">
        <f>IF(F125+SUM(E$99:E125)=D$92,F125,D$92-SUM(E$99:E125))</f>
        <v>11976.100000000006</v>
      </c>
      <c r="E126" s="484">
        <f t="shared" si="16"/>
        <v>749</v>
      </c>
      <c r="F126" s="664">
        <f t="shared" si="17"/>
        <v>11227.100000000006</v>
      </c>
      <c r="G126" s="664">
        <f t="shared" si="18"/>
        <v>11601.600000000006</v>
      </c>
      <c r="H126" s="701">
        <f t="shared" si="12"/>
        <v>1999.7829493574134</v>
      </c>
      <c r="I126" s="702">
        <f t="shared" si="13"/>
        <v>1999.7829493574134</v>
      </c>
      <c r="J126" s="669">
        <f t="shared" si="14"/>
        <v>0</v>
      </c>
      <c r="K126" s="669"/>
      <c r="L126" s="132"/>
      <c r="M126" s="669">
        <f t="shared" si="9"/>
        <v>0</v>
      </c>
      <c r="N126" s="132"/>
      <c r="O126" s="669">
        <f t="shared" si="10"/>
        <v>0</v>
      </c>
      <c r="P126" s="669">
        <f t="shared" si="11"/>
        <v>0</v>
      </c>
    </row>
    <row r="127" spans="2:16">
      <c r="B127" s="9" t="str">
        <f t="shared" si="15"/>
        <v/>
      </c>
      <c r="C127" s="662">
        <f>IF(D93="","-",+C126+1)</f>
        <v>2050</v>
      </c>
      <c r="D127" s="663">
        <f>IF(F126+SUM(E$99:E126)=D$92,F126,D$92-SUM(E$99:E126))</f>
        <v>11227.100000000006</v>
      </c>
      <c r="E127" s="484">
        <f t="shared" si="16"/>
        <v>749</v>
      </c>
      <c r="F127" s="664">
        <f t="shared" si="17"/>
        <v>10478.100000000006</v>
      </c>
      <c r="G127" s="664">
        <f t="shared" si="18"/>
        <v>10852.600000000006</v>
      </c>
      <c r="H127" s="701">
        <f t="shared" si="12"/>
        <v>1919.0323262477818</v>
      </c>
      <c r="I127" s="702">
        <f t="shared" si="13"/>
        <v>1919.0323262477818</v>
      </c>
      <c r="J127" s="669">
        <f t="shared" si="14"/>
        <v>0</v>
      </c>
      <c r="K127" s="669"/>
      <c r="L127" s="132"/>
      <c r="M127" s="669">
        <f t="shared" si="9"/>
        <v>0</v>
      </c>
      <c r="N127" s="132"/>
      <c r="O127" s="669">
        <f t="shared" si="10"/>
        <v>0</v>
      </c>
      <c r="P127" s="669">
        <f t="shared" si="11"/>
        <v>0</v>
      </c>
    </row>
    <row r="128" spans="2:16">
      <c r="B128" s="9" t="str">
        <f t="shared" si="15"/>
        <v/>
      </c>
      <c r="C128" s="662">
        <f>IF(D93="","-",+C127+1)</f>
        <v>2051</v>
      </c>
      <c r="D128" s="663">
        <f>IF(F127+SUM(E$99:E127)=D$92,F127,D$92-SUM(E$99:E127))</f>
        <v>10478.100000000006</v>
      </c>
      <c r="E128" s="484">
        <f t="shared" si="16"/>
        <v>749</v>
      </c>
      <c r="F128" s="664">
        <f t="shared" si="17"/>
        <v>9729.1000000000058</v>
      </c>
      <c r="G128" s="664">
        <f t="shared" si="18"/>
        <v>10103.600000000006</v>
      </c>
      <c r="H128" s="701">
        <f t="shared" si="12"/>
        <v>1838.2817031381501</v>
      </c>
      <c r="I128" s="702">
        <f t="shared" si="13"/>
        <v>1838.2817031381501</v>
      </c>
      <c r="J128" s="669">
        <f t="shared" si="14"/>
        <v>0</v>
      </c>
      <c r="K128" s="669"/>
      <c r="L128" s="132"/>
      <c r="M128" s="669">
        <f t="shared" si="9"/>
        <v>0</v>
      </c>
      <c r="N128" s="132"/>
      <c r="O128" s="669">
        <f t="shared" si="10"/>
        <v>0</v>
      </c>
      <c r="P128" s="669">
        <f t="shared" si="11"/>
        <v>0</v>
      </c>
    </row>
    <row r="129" spans="2:16">
      <c r="B129" s="9" t="str">
        <f t="shared" si="15"/>
        <v/>
      </c>
      <c r="C129" s="662">
        <f>IF(D93="","-",+C128+1)</f>
        <v>2052</v>
      </c>
      <c r="D129" s="663">
        <f>IF(F128+SUM(E$99:E128)=D$92,F128,D$92-SUM(E$99:E128))</f>
        <v>9729.1000000000058</v>
      </c>
      <c r="E129" s="484">
        <f t="shared" si="16"/>
        <v>749</v>
      </c>
      <c r="F129" s="664">
        <f t="shared" si="17"/>
        <v>8980.1000000000058</v>
      </c>
      <c r="G129" s="664">
        <f t="shared" si="18"/>
        <v>9354.6000000000058</v>
      </c>
      <c r="H129" s="701">
        <f t="shared" si="12"/>
        <v>1757.5310800285185</v>
      </c>
      <c r="I129" s="702">
        <f t="shared" si="13"/>
        <v>1757.5310800285185</v>
      </c>
      <c r="J129" s="669">
        <f t="shared" si="14"/>
        <v>0</v>
      </c>
      <c r="K129" s="669"/>
      <c r="L129" s="132"/>
      <c r="M129" s="669">
        <f t="shared" si="9"/>
        <v>0</v>
      </c>
      <c r="N129" s="132"/>
      <c r="O129" s="669">
        <f t="shared" si="10"/>
        <v>0</v>
      </c>
      <c r="P129" s="669">
        <f t="shared" si="11"/>
        <v>0</v>
      </c>
    </row>
    <row r="130" spans="2:16">
      <c r="B130" s="9" t="str">
        <f t="shared" si="15"/>
        <v/>
      </c>
      <c r="C130" s="662">
        <f>IF(D93="","-",+C129+1)</f>
        <v>2053</v>
      </c>
      <c r="D130" s="663">
        <f>IF(F129+SUM(E$99:E129)=D$92,F129,D$92-SUM(E$99:E129))</f>
        <v>8980.1000000000058</v>
      </c>
      <c r="E130" s="484">
        <f t="shared" si="16"/>
        <v>749</v>
      </c>
      <c r="F130" s="664">
        <f t="shared" si="17"/>
        <v>8231.1000000000058</v>
      </c>
      <c r="G130" s="664">
        <f t="shared" si="18"/>
        <v>8605.6000000000058</v>
      </c>
      <c r="H130" s="701">
        <f t="shared" si="12"/>
        <v>1676.780456918887</v>
      </c>
      <c r="I130" s="702">
        <f t="shared" si="13"/>
        <v>1676.780456918887</v>
      </c>
      <c r="J130" s="669">
        <f t="shared" si="14"/>
        <v>0</v>
      </c>
      <c r="K130" s="669"/>
      <c r="L130" s="132"/>
      <c r="M130" s="669">
        <f t="shared" si="9"/>
        <v>0</v>
      </c>
      <c r="N130" s="132"/>
      <c r="O130" s="669">
        <f t="shared" si="10"/>
        <v>0</v>
      </c>
      <c r="P130" s="669">
        <f t="shared" si="11"/>
        <v>0</v>
      </c>
    </row>
    <row r="131" spans="2:16">
      <c r="B131" s="9" t="str">
        <f t="shared" si="15"/>
        <v/>
      </c>
      <c r="C131" s="662">
        <f>IF(D93="","-",+C130+1)</f>
        <v>2054</v>
      </c>
      <c r="D131" s="663">
        <f>IF(F130+SUM(E$99:E130)=D$92,F130,D$92-SUM(E$99:E130))</f>
        <v>8231.1000000000058</v>
      </c>
      <c r="E131" s="484">
        <f t="shared" si="16"/>
        <v>749</v>
      </c>
      <c r="F131" s="664">
        <f t="shared" si="17"/>
        <v>7482.1000000000058</v>
      </c>
      <c r="G131" s="664">
        <f t="shared" si="18"/>
        <v>7856.6000000000058</v>
      </c>
      <c r="H131" s="701">
        <f t="shared" si="12"/>
        <v>1596.0298338092553</v>
      </c>
      <c r="I131" s="702">
        <f t="shared" si="13"/>
        <v>1596.0298338092553</v>
      </c>
      <c r="J131" s="669">
        <f t="shared" ref="J131:J154" si="19">+I541-H541</f>
        <v>0</v>
      </c>
      <c r="K131" s="669"/>
      <c r="L131" s="132"/>
      <c r="M131" s="669">
        <f t="shared" ref="M131:M154" si="20">IF(L541&lt;&gt;0,+H541-L541,0)</f>
        <v>0</v>
      </c>
      <c r="N131" s="132"/>
      <c r="O131" s="669">
        <f t="shared" ref="O131:O154" si="21">IF(N541&lt;&gt;0,+I541-N541,0)</f>
        <v>0</v>
      </c>
      <c r="P131" s="669">
        <f t="shared" ref="P131:P154" si="22">+O541-M541</f>
        <v>0</v>
      </c>
    </row>
    <row r="132" spans="2:16">
      <c r="B132" s="9" t="str">
        <f t="shared" si="15"/>
        <v/>
      </c>
      <c r="C132" s="662">
        <f>IF(D93="","-",+C131+1)</f>
        <v>2055</v>
      </c>
      <c r="D132" s="663">
        <f>IF(F131+SUM(E$99:E131)=D$92,F131,D$92-SUM(E$99:E131))</f>
        <v>7482.1000000000058</v>
      </c>
      <c r="E132" s="484">
        <f t="shared" si="16"/>
        <v>749</v>
      </c>
      <c r="F132" s="664">
        <f t="shared" si="17"/>
        <v>6733.1000000000058</v>
      </c>
      <c r="G132" s="664">
        <f t="shared" si="18"/>
        <v>7107.6000000000058</v>
      </c>
      <c r="H132" s="701">
        <f t="shared" si="12"/>
        <v>1515.2792106996237</v>
      </c>
      <c r="I132" s="702">
        <f t="shared" si="13"/>
        <v>1515.2792106996237</v>
      </c>
      <c r="J132" s="669">
        <f t="shared" si="19"/>
        <v>0</v>
      </c>
      <c r="K132" s="669"/>
      <c r="L132" s="132"/>
      <c r="M132" s="669">
        <f t="shared" si="20"/>
        <v>0</v>
      </c>
      <c r="N132" s="132"/>
      <c r="O132" s="669">
        <f t="shared" si="21"/>
        <v>0</v>
      </c>
      <c r="P132" s="669">
        <f t="shared" si="22"/>
        <v>0</v>
      </c>
    </row>
    <row r="133" spans="2:16">
      <c r="B133" s="9" t="str">
        <f t="shared" si="15"/>
        <v/>
      </c>
      <c r="C133" s="662">
        <f>IF(D93="","-",+C132+1)</f>
        <v>2056</v>
      </c>
      <c r="D133" s="663">
        <f>IF(F132+SUM(E$99:E132)=D$92,F132,D$92-SUM(E$99:E132))</f>
        <v>6733.1000000000058</v>
      </c>
      <c r="E133" s="484">
        <f t="shared" si="16"/>
        <v>749</v>
      </c>
      <c r="F133" s="664">
        <f t="shared" si="17"/>
        <v>5984.1000000000058</v>
      </c>
      <c r="G133" s="664">
        <f t="shared" si="18"/>
        <v>6358.6000000000058</v>
      </c>
      <c r="H133" s="701">
        <f t="shared" si="12"/>
        <v>1434.5285875899922</v>
      </c>
      <c r="I133" s="702">
        <f t="shared" si="13"/>
        <v>1434.5285875899922</v>
      </c>
      <c r="J133" s="669">
        <f t="shared" si="19"/>
        <v>0</v>
      </c>
      <c r="K133" s="669"/>
      <c r="L133" s="132"/>
      <c r="M133" s="669">
        <f t="shared" si="20"/>
        <v>0</v>
      </c>
      <c r="N133" s="132"/>
      <c r="O133" s="669">
        <f t="shared" si="21"/>
        <v>0</v>
      </c>
      <c r="P133" s="669">
        <f t="shared" si="22"/>
        <v>0</v>
      </c>
    </row>
    <row r="134" spans="2:16">
      <c r="B134" s="9" t="str">
        <f t="shared" si="15"/>
        <v/>
      </c>
      <c r="C134" s="662">
        <f>IF(D93="","-",+C133+1)</f>
        <v>2057</v>
      </c>
      <c r="D134" s="663">
        <f>IF(F133+SUM(E$99:E133)=D$92,F133,D$92-SUM(E$99:E133))</f>
        <v>5984.1000000000058</v>
      </c>
      <c r="E134" s="484">
        <f t="shared" si="16"/>
        <v>749</v>
      </c>
      <c r="F134" s="664">
        <f t="shared" si="17"/>
        <v>5235.1000000000058</v>
      </c>
      <c r="G134" s="664">
        <f t="shared" si="18"/>
        <v>5609.6000000000058</v>
      </c>
      <c r="H134" s="701">
        <f t="shared" si="12"/>
        <v>1353.7779644803604</v>
      </c>
      <c r="I134" s="702">
        <f t="shared" si="13"/>
        <v>1353.7779644803604</v>
      </c>
      <c r="J134" s="669">
        <f t="shared" si="19"/>
        <v>0</v>
      </c>
      <c r="K134" s="669"/>
      <c r="L134" s="132"/>
      <c r="M134" s="669">
        <f t="shared" si="20"/>
        <v>0</v>
      </c>
      <c r="N134" s="132"/>
      <c r="O134" s="669">
        <f t="shared" si="21"/>
        <v>0</v>
      </c>
      <c r="P134" s="669">
        <f t="shared" si="22"/>
        <v>0</v>
      </c>
    </row>
    <row r="135" spans="2:16">
      <c r="B135" s="9" t="str">
        <f t="shared" si="15"/>
        <v/>
      </c>
      <c r="C135" s="662">
        <f>IF(D93="","-",+C134+1)</f>
        <v>2058</v>
      </c>
      <c r="D135" s="663">
        <f>IF(F134+SUM(E$99:E134)=D$92,F134,D$92-SUM(E$99:E134))</f>
        <v>5235.1000000000058</v>
      </c>
      <c r="E135" s="484">
        <f t="shared" si="16"/>
        <v>749</v>
      </c>
      <c r="F135" s="664">
        <f t="shared" si="17"/>
        <v>4486.1000000000058</v>
      </c>
      <c r="G135" s="664">
        <f t="shared" si="18"/>
        <v>4860.6000000000058</v>
      </c>
      <c r="H135" s="701">
        <f t="shared" si="12"/>
        <v>1273.0273413707287</v>
      </c>
      <c r="I135" s="702">
        <f t="shared" si="13"/>
        <v>1273.0273413707287</v>
      </c>
      <c r="J135" s="669">
        <f t="shared" si="19"/>
        <v>0</v>
      </c>
      <c r="K135" s="669"/>
      <c r="L135" s="132"/>
      <c r="M135" s="669">
        <f t="shared" si="20"/>
        <v>0</v>
      </c>
      <c r="N135" s="132"/>
      <c r="O135" s="669">
        <f t="shared" si="21"/>
        <v>0</v>
      </c>
      <c r="P135" s="669">
        <f t="shared" si="22"/>
        <v>0</v>
      </c>
    </row>
    <row r="136" spans="2:16">
      <c r="B136" s="9" t="str">
        <f t="shared" si="15"/>
        <v/>
      </c>
      <c r="C136" s="662">
        <f>IF(D93="","-",+C135+1)</f>
        <v>2059</v>
      </c>
      <c r="D136" s="663">
        <f>IF(F135+SUM(E$99:E135)=D$92,F135,D$92-SUM(E$99:E135))</f>
        <v>4486.1000000000058</v>
      </c>
      <c r="E136" s="484">
        <f t="shared" si="16"/>
        <v>749</v>
      </c>
      <c r="F136" s="664">
        <f t="shared" si="17"/>
        <v>3737.1000000000058</v>
      </c>
      <c r="G136" s="664">
        <f t="shared" si="18"/>
        <v>4111.6000000000058</v>
      </c>
      <c r="H136" s="701">
        <f t="shared" si="12"/>
        <v>1192.2767182610971</v>
      </c>
      <c r="I136" s="702">
        <f t="shared" si="13"/>
        <v>1192.2767182610971</v>
      </c>
      <c r="J136" s="669">
        <f t="shared" si="19"/>
        <v>0</v>
      </c>
      <c r="K136" s="669"/>
      <c r="L136" s="132"/>
      <c r="M136" s="669">
        <f t="shared" si="20"/>
        <v>0</v>
      </c>
      <c r="N136" s="132"/>
      <c r="O136" s="669">
        <f t="shared" si="21"/>
        <v>0</v>
      </c>
      <c r="P136" s="669">
        <f t="shared" si="22"/>
        <v>0</v>
      </c>
    </row>
    <row r="137" spans="2:16">
      <c r="B137" s="9" t="str">
        <f t="shared" si="15"/>
        <v/>
      </c>
      <c r="C137" s="662">
        <f>IF(D93="","-",+C136+1)</f>
        <v>2060</v>
      </c>
      <c r="D137" s="663">
        <f>IF(F136+SUM(E$99:E136)=D$92,F136,D$92-SUM(E$99:E136))</f>
        <v>3737.1000000000058</v>
      </c>
      <c r="E137" s="484">
        <f t="shared" si="16"/>
        <v>749</v>
      </c>
      <c r="F137" s="664">
        <f t="shared" si="17"/>
        <v>2988.1000000000058</v>
      </c>
      <c r="G137" s="664">
        <f t="shared" si="18"/>
        <v>3362.6000000000058</v>
      </c>
      <c r="H137" s="701">
        <f t="shared" si="12"/>
        <v>1111.5260951514656</v>
      </c>
      <c r="I137" s="702">
        <f t="shared" si="13"/>
        <v>1111.5260951514656</v>
      </c>
      <c r="J137" s="669">
        <f t="shared" si="19"/>
        <v>0</v>
      </c>
      <c r="K137" s="669"/>
      <c r="L137" s="132"/>
      <c r="M137" s="669">
        <f t="shared" si="20"/>
        <v>0</v>
      </c>
      <c r="N137" s="132"/>
      <c r="O137" s="669">
        <f t="shared" si="21"/>
        <v>0</v>
      </c>
      <c r="P137" s="669">
        <f t="shared" si="22"/>
        <v>0</v>
      </c>
    </row>
    <row r="138" spans="2:16">
      <c r="B138" s="9" t="str">
        <f t="shared" si="15"/>
        <v/>
      </c>
      <c r="C138" s="662">
        <f>IF(D93="","-",+C137+1)</f>
        <v>2061</v>
      </c>
      <c r="D138" s="663">
        <f>IF(F137+SUM(E$99:E137)=D$92,F137,D$92-SUM(E$99:E137))</f>
        <v>2988.1000000000058</v>
      </c>
      <c r="E138" s="484">
        <f t="shared" si="16"/>
        <v>749</v>
      </c>
      <c r="F138" s="664">
        <f t="shared" si="17"/>
        <v>2239.1000000000058</v>
      </c>
      <c r="G138" s="664">
        <f t="shared" si="18"/>
        <v>2613.6000000000058</v>
      </c>
      <c r="H138" s="701">
        <f t="shared" si="12"/>
        <v>1030.7754720418341</v>
      </c>
      <c r="I138" s="702">
        <f t="shared" si="13"/>
        <v>1030.7754720418341</v>
      </c>
      <c r="J138" s="669">
        <f t="shared" si="19"/>
        <v>0</v>
      </c>
      <c r="K138" s="669"/>
      <c r="L138" s="132"/>
      <c r="M138" s="669">
        <f t="shared" si="20"/>
        <v>0</v>
      </c>
      <c r="N138" s="132"/>
      <c r="O138" s="669">
        <f t="shared" si="21"/>
        <v>0</v>
      </c>
      <c r="P138" s="669">
        <f t="shared" si="22"/>
        <v>0</v>
      </c>
    </row>
    <row r="139" spans="2:16">
      <c r="B139" s="9" t="str">
        <f t="shared" si="15"/>
        <v/>
      </c>
      <c r="C139" s="662">
        <f>IF(D93="","-",+C138+1)</f>
        <v>2062</v>
      </c>
      <c r="D139" s="663">
        <f>IF(F138+SUM(E$99:E138)=D$92,F138,D$92-SUM(E$99:E138))</f>
        <v>2239.1000000000058</v>
      </c>
      <c r="E139" s="484">
        <f t="shared" si="16"/>
        <v>749</v>
      </c>
      <c r="F139" s="664">
        <f t="shared" si="17"/>
        <v>1490.1000000000058</v>
      </c>
      <c r="G139" s="664">
        <f t="shared" si="18"/>
        <v>1864.6000000000058</v>
      </c>
      <c r="H139" s="701">
        <f t="shared" si="12"/>
        <v>950.0248489322023</v>
      </c>
      <c r="I139" s="702">
        <f t="shared" si="13"/>
        <v>950.0248489322023</v>
      </c>
      <c r="J139" s="669">
        <f t="shared" si="19"/>
        <v>0</v>
      </c>
      <c r="K139" s="669"/>
      <c r="L139" s="132"/>
      <c r="M139" s="669">
        <f t="shared" si="20"/>
        <v>0</v>
      </c>
      <c r="N139" s="132"/>
      <c r="O139" s="669">
        <f t="shared" si="21"/>
        <v>0</v>
      </c>
      <c r="P139" s="669">
        <f t="shared" si="22"/>
        <v>0</v>
      </c>
    </row>
    <row r="140" spans="2:16">
      <c r="B140" s="9" t="str">
        <f t="shared" si="15"/>
        <v/>
      </c>
      <c r="C140" s="662">
        <f>IF(D93="","-",+C139+1)</f>
        <v>2063</v>
      </c>
      <c r="D140" s="663">
        <f>IF(F139+SUM(E$99:E139)=D$92,F139,D$92-SUM(E$99:E139))</f>
        <v>1490.1000000000058</v>
      </c>
      <c r="E140" s="484">
        <f t="shared" si="16"/>
        <v>749</v>
      </c>
      <c r="F140" s="664">
        <f t="shared" si="17"/>
        <v>741.10000000000582</v>
      </c>
      <c r="G140" s="664">
        <f t="shared" si="18"/>
        <v>1115.6000000000058</v>
      </c>
      <c r="H140" s="701">
        <f t="shared" si="12"/>
        <v>869.27422582257077</v>
      </c>
      <c r="I140" s="702">
        <f t="shared" si="13"/>
        <v>869.27422582257077</v>
      </c>
      <c r="J140" s="669">
        <f t="shared" si="19"/>
        <v>0</v>
      </c>
      <c r="K140" s="669"/>
      <c r="L140" s="132"/>
      <c r="M140" s="669">
        <f t="shared" si="20"/>
        <v>0</v>
      </c>
      <c r="N140" s="132"/>
      <c r="O140" s="669">
        <f t="shared" si="21"/>
        <v>0</v>
      </c>
      <c r="P140" s="669">
        <f t="shared" si="22"/>
        <v>0</v>
      </c>
    </row>
    <row r="141" spans="2:16">
      <c r="B141" s="9" t="str">
        <f t="shared" si="15"/>
        <v/>
      </c>
      <c r="C141" s="662">
        <f>IF(D93="","-",+C140+1)</f>
        <v>2064</v>
      </c>
      <c r="D141" s="663">
        <f>IF(F140+SUM(E$99:E140)=D$92,F140,D$92-SUM(E$99:E140))</f>
        <v>741.10000000000582</v>
      </c>
      <c r="E141" s="484">
        <f t="shared" si="16"/>
        <v>741.10000000000582</v>
      </c>
      <c r="F141" s="664">
        <f t="shared" si="17"/>
        <v>0</v>
      </c>
      <c r="G141" s="664">
        <f t="shared" si="18"/>
        <v>370.55000000000291</v>
      </c>
      <c r="H141" s="701">
        <f t="shared" si="12"/>
        <v>781.04945713388327</v>
      </c>
      <c r="I141" s="702">
        <f t="shared" si="13"/>
        <v>781.04945713388327</v>
      </c>
      <c r="J141" s="669">
        <f t="shared" si="19"/>
        <v>0</v>
      </c>
      <c r="K141" s="669"/>
      <c r="L141" s="132"/>
      <c r="M141" s="669">
        <f t="shared" si="20"/>
        <v>0</v>
      </c>
      <c r="N141" s="132"/>
      <c r="O141" s="669">
        <f t="shared" si="21"/>
        <v>0</v>
      </c>
      <c r="P141" s="669">
        <f t="shared" si="22"/>
        <v>0</v>
      </c>
    </row>
    <row r="142" spans="2:16">
      <c r="B142" s="9" t="str">
        <f t="shared" si="15"/>
        <v/>
      </c>
      <c r="C142" s="662">
        <f>IF(D93="","-",+C141+1)</f>
        <v>2065</v>
      </c>
      <c r="D142" s="663">
        <f>IF(F141+SUM(E$99:E141)=D$92,F141,D$92-SUM(E$99:E141))</f>
        <v>0</v>
      </c>
      <c r="E142" s="484">
        <f t="shared" si="16"/>
        <v>0</v>
      </c>
      <c r="F142" s="664">
        <f t="shared" si="17"/>
        <v>0</v>
      </c>
      <c r="G142" s="664">
        <f t="shared" si="18"/>
        <v>0</v>
      </c>
      <c r="H142" s="701">
        <f t="shared" si="12"/>
        <v>0</v>
      </c>
      <c r="I142" s="702">
        <f t="shared" si="13"/>
        <v>0</v>
      </c>
      <c r="J142" s="669">
        <f t="shared" si="19"/>
        <v>0</v>
      </c>
      <c r="K142" s="669"/>
      <c r="L142" s="132"/>
      <c r="M142" s="669">
        <f t="shared" si="20"/>
        <v>0</v>
      </c>
      <c r="N142" s="132"/>
      <c r="O142" s="669">
        <f t="shared" si="21"/>
        <v>0</v>
      </c>
      <c r="P142" s="669">
        <f t="shared" si="22"/>
        <v>0</v>
      </c>
    </row>
    <row r="143" spans="2:16">
      <c r="B143" s="9" t="str">
        <f t="shared" si="15"/>
        <v/>
      </c>
      <c r="C143" s="662">
        <f>IF(D93="","-",+C142+1)</f>
        <v>2066</v>
      </c>
      <c r="D143" s="663">
        <f>IF(F142+SUM(E$99:E142)=D$92,F142,D$92-SUM(E$99:E142))</f>
        <v>0</v>
      </c>
      <c r="E143" s="484">
        <f t="shared" si="16"/>
        <v>0</v>
      </c>
      <c r="F143" s="664">
        <f t="shared" si="17"/>
        <v>0</v>
      </c>
      <c r="G143" s="664">
        <f t="shared" si="18"/>
        <v>0</v>
      </c>
      <c r="H143" s="701">
        <f t="shared" si="12"/>
        <v>0</v>
      </c>
      <c r="I143" s="702">
        <f t="shared" si="13"/>
        <v>0</v>
      </c>
      <c r="J143" s="669">
        <f t="shared" si="19"/>
        <v>0</v>
      </c>
      <c r="K143" s="669"/>
      <c r="L143" s="132"/>
      <c r="M143" s="669">
        <f t="shared" si="20"/>
        <v>0</v>
      </c>
      <c r="N143" s="132"/>
      <c r="O143" s="669">
        <f t="shared" si="21"/>
        <v>0</v>
      </c>
      <c r="P143" s="669">
        <f t="shared" si="22"/>
        <v>0</v>
      </c>
    </row>
    <row r="144" spans="2:16">
      <c r="B144" s="9" t="str">
        <f t="shared" si="15"/>
        <v/>
      </c>
      <c r="C144" s="662">
        <f>IF(D93="","-",+C143+1)</f>
        <v>2067</v>
      </c>
      <c r="D144" s="663">
        <f>IF(F143+SUM(E$99:E143)=D$92,F143,D$92-SUM(E$99:E143))</f>
        <v>0</v>
      </c>
      <c r="E144" s="484">
        <f t="shared" si="16"/>
        <v>0</v>
      </c>
      <c r="F144" s="664">
        <f t="shared" si="17"/>
        <v>0</v>
      </c>
      <c r="G144" s="664">
        <f t="shared" si="18"/>
        <v>0</v>
      </c>
      <c r="H144" s="701">
        <f t="shared" si="12"/>
        <v>0</v>
      </c>
      <c r="I144" s="702">
        <f t="shared" si="13"/>
        <v>0</v>
      </c>
      <c r="J144" s="669">
        <f t="shared" si="19"/>
        <v>0</v>
      </c>
      <c r="K144" s="669"/>
      <c r="L144" s="132"/>
      <c r="M144" s="669">
        <f t="shared" si="20"/>
        <v>0</v>
      </c>
      <c r="N144" s="132"/>
      <c r="O144" s="669">
        <f t="shared" si="21"/>
        <v>0</v>
      </c>
      <c r="P144" s="669">
        <f t="shared" si="22"/>
        <v>0</v>
      </c>
    </row>
    <row r="145" spans="2:16">
      <c r="B145" s="9" t="str">
        <f t="shared" si="15"/>
        <v/>
      </c>
      <c r="C145" s="662">
        <f>IF(D93="","-",+C144+1)</f>
        <v>2068</v>
      </c>
      <c r="D145" s="663">
        <f>IF(F144+SUM(E$99:E144)=D$92,F144,D$92-SUM(E$99:E144))</f>
        <v>0</v>
      </c>
      <c r="E145" s="484">
        <f t="shared" si="16"/>
        <v>0</v>
      </c>
      <c r="F145" s="664">
        <f t="shared" si="17"/>
        <v>0</v>
      </c>
      <c r="G145" s="664">
        <f t="shared" si="18"/>
        <v>0</v>
      </c>
      <c r="H145" s="701">
        <f t="shared" si="12"/>
        <v>0</v>
      </c>
      <c r="I145" s="702">
        <f t="shared" si="13"/>
        <v>0</v>
      </c>
      <c r="J145" s="669">
        <f t="shared" si="19"/>
        <v>0</v>
      </c>
      <c r="K145" s="669"/>
      <c r="L145" s="132"/>
      <c r="M145" s="669">
        <f t="shared" si="20"/>
        <v>0</v>
      </c>
      <c r="N145" s="132"/>
      <c r="O145" s="669">
        <f t="shared" si="21"/>
        <v>0</v>
      </c>
      <c r="P145" s="669">
        <f t="shared" si="22"/>
        <v>0</v>
      </c>
    </row>
    <row r="146" spans="2:16">
      <c r="B146" s="9" t="str">
        <f t="shared" si="15"/>
        <v/>
      </c>
      <c r="C146" s="662">
        <f>IF(D93="","-",+C145+1)</f>
        <v>2069</v>
      </c>
      <c r="D146" s="663">
        <f>IF(F145+SUM(E$99:E145)=D$92,F145,D$92-SUM(E$99:E145))</f>
        <v>0</v>
      </c>
      <c r="E146" s="484">
        <f t="shared" si="16"/>
        <v>0</v>
      </c>
      <c r="F146" s="664">
        <f t="shared" si="17"/>
        <v>0</v>
      </c>
      <c r="G146" s="664">
        <f t="shared" si="18"/>
        <v>0</v>
      </c>
      <c r="H146" s="701">
        <f t="shared" si="12"/>
        <v>0</v>
      </c>
      <c r="I146" s="702">
        <f t="shared" si="13"/>
        <v>0</v>
      </c>
      <c r="J146" s="669">
        <f t="shared" si="19"/>
        <v>0</v>
      </c>
      <c r="K146" s="669"/>
      <c r="L146" s="132"/>
      <c r="M146" s="669">
        <f t="shared" si="20"/>
        <v>0</v>
      </c>
      <c r="N146" s="132"/>
      <c r="O146" s="669">
        <f t="shared" si="21"/>
        <v>0</v>
      </c>
      <c r="P146" s="669">
        <f t="shared" si="22"/>
        <v>0</v>
      </c>
    </row>
    <row r="147" spans="2:16">
      <c r="B147" s="9" t="str">
        <f t="shared" si="15"/>
        <v/>
      </c>
      <c r="C147" s="662">
        <f>IF(D93="","-",+C146+1)</f>
        <v>2070</v>
      </c>
      <c r="D147" s="663">
        <f>IF(F146+SUM(E$99:E146)=D$92,F146,D$92-SUM(E$99:E146))</f>
        <v>0</v>
      </c>
      <c r="E147" s="484">
        <f t="shared" si="16"/>
        <v>0</v>
      </c>
      <c r="F147" s="664">
        <f t="shared" si="17"/>
        <v>0</v>
      </c>
      <c r="G147" s="664">
        <f t="shared" si="18"/>
        <v>0</v>
      </c>
      <c r="H147" s="701">
        <f t="shared" si="12"/>
        <v>0</v>
      </c>
      <c r="I147" s="702">
        <f t="shared" si="13"/>
        <v>0</v>
      </c>
      <c r="J147" s="669">
        <f t="shared" si="19"/>
        <v>0</v>
      </c>
      <c r="K147" s="669"/>
      <c r="L147" s="132"/>
      <c r="M147" s="669">
        <f t="shared" si="20"/>
        <v>0</v>
      </c>
      <c r="N147" s="132"/>
      <c r="O147" s="669">
        <f t="shared" si="21"/>
        <v>0</v>
      </c>
      <c r="P147" s="669">
        <f t="shared" si="22"/>
        <v>0</v>
      </c>
    </row>
    <row r="148" spans="2:16">
      <c r="B148" s="9" t="str">
        <f t="shared" si="15"/>
        <v/>
      </c>
      <c r="C148" s="662">
        <f>IF(D93="","-",+C147+1)</f>
        <v>2071</v>
      </c>
      <c r="D148" s="663">
        <f>IF(F147+SUM(E$99:E147)=D$92,F147,D$92-SUM(E$99:E147))</f>
        <v>0</v>
      </c>
      <c r="E148" s="484">
        <f t="shared" si="16"/>
        <v>0</v>
      </c>
      <c r="F148" s="664">
        <f t="shared" si="17"/>
        <v>0</v>
      </c>
      <c r="G148" s="664">
        <f t="shared" si="18"/>
        <v>0</v>
      </c>
      <c r="H148" s="701">
        <f t="shared" si="12"/>
        <v>0</v>
      </c>
      <c r="I148" s="702">
        <f t="shared" si="13"/>
        <v>0</v>
      </c>
      <c r="J148" s="669">
        <f t="shared" si="19"/>
        <v>0</v>
      </c>
      <c r="K148" s="669"/>
      <c r="L148" s="132"/>
      <c r="M148" s="669">
        <f t="shared" si="20"/>
        <v>0</v>
      </c>
      <c r="N148" s="132"/>
      <c r="O148" s="669">
        <f t="shared" si="21"/>
        <v>0</v>
      </c>
      <c r="P148" s="669">
        <f t="shared" si="22"/>
        <v>0</v>
      </c>
    </row>
    <row r="149" spans="2:16">
      <c r="B149" s="9" t="str">
        <f t="shared" si="15"/>
        <v/>
      </c>
      <c r="C149" s="662">
        <f>IF(D93="","-",+C148+1)</f>
        <v>2072</v>
      </c>
      <c r="D149" s="663">
        <f>IF(F148+SUM(E$99:E148)=D$92,F148,D$92-SUM(E$99:E148))</f>
        <v>0</v>
      </c>
      <c r="E149" s="484">
        <f t="shared" si="16"/>
        <v>0</v>
      </c>
      <c r="F149" s="664">
        <f t="shared" si="17"/>
        <v>0</v>
      </c>
      <c r="G149" s="664">
        <f t="shared" si="18"/>
        <v>0</v>
      </c>
      <c r="H149" s="701">
        <f t="shared" si="12"/>
        <v>0</v>
      </c>
      <c r="I149" s="702">
        <f t="shared" si="13"/>
        <v>0</v>
      </c>
      <c r="J149" s="669">
        <f t="shared" si="19"/>
        <v>0</v>
      </c>
      <c r="K149" s="669"/>
      <c r="L149" s="132"/>
      <c r="M149" s="669">
        <f t="shared" si="20"/>
        <v>0</v>
      </c>
      <c r="N149" s="132"/>
      <c r="O149" s="669">
        <f t="shared" si="21"/>
        <v>0</v>
      </c>
      <c r="P149" s="669">
        <f t="shared" si="22"/>
        <v>0</v>
      </c>
    </row>
    <row r="150" spans="2:16">
      <c r="B150" s="9" t="str">
        <f t="shared" si="15"/>
        <v/>
      </c>
      <c r="C150" s="662">
        <f>IF(D93="","-",+C149+1)</f>
        <v>2073</v>
      </c>
      <c r="D150" s="663">
        <f>IF(F149+SUM(E$99:E149)=D$92,F149,D$92-SUM(E$99:E149))</f>
        <v>0</v>
      </c>
      <c r="E150" s="484">
        <f t="shared" si="16"/>
        <v>0</v>
      </c>
      <c r="F150" s="664">
        <f t="shared" si="17"/>
        <v>0</v>
      </c>
      <c r="G150" s="664">
        <f t="shared" si="18"/>
        <v>0</v>
      </c>
      <c r="H150" s="701">
        <f t="shared" si="12"/>
        <v>0</v>
      </c>
      <c r="I150" s="702">
        <f t="shared" si="13"/>
        <v>0</v>
      </c>
      <c r="J150" s="669">
        <f t="shared" si="19"/>
        <v>0</v>
      </c>
      <c r="K150" s="669"/>
      <c r="L150" s="132"/>
      <c r="M150" s="669">
        <f t="shared" si="20"/>
        <v>0</v>
      </c>
      <c r="N150" s="132"/>
      <c r="O150" s="669">
        <f t="shared" si="21"/>
        <v>0</v>
      </c>
      <c r="P150" s="669">
        <f t="shared" si="22"/>
        <v>0</v>
      </c>
    </row>
    <row r="151" spans="2:16">
      <c r="B151" s="9" t="str">
        <f t="shared" si="15"/>
        <v/>
      </c>
      <c r="C151" s="662">
        <f>IF(D93="","-",+C150+1)</f>
        <v>2074</v>
      </c>
      <c r="D151" s="663">
        <f>IF(F150+SUM(E$99:E150)=D$92,F150,D$92-SUM(E$99:E150))</f>
        <v>0</v>
      </c>
      <c r="E151" s="484">
        <f t="shared" si="16"/>
        <v>0</v>
      </c>
      <c r="F151" s="664">
        <f t="shared" si="17"/>
        <v>0</v>
      </c>
      <c r="G151" s="664">
        <f t="shared" si="18"/>
        <v>0</v>
      </c>
      <c r="H151" s="701">
        <f t="shared" si="12"/>
        <v>0</v>
      </c>
      <c r="I151" s="702">
        <f t="shared" si="13"/>
        <v>0</v>
      </c>
      <c r="J151" s="669">
        <f t="shared" si="19"/>
        <v>0</v>
      </c>
      <c r="K151" s="669"/>
      <c r="L151" s="132"/>
      <c r="M151" s="669">
        <f t="shared" si="20"/>
        <v>0</v>
      </c>
      <c r="N151" s="132"/>
      <c r="O151" s="669">
        <f t="shared" si="21"/>
        <v>0</v>
      </c>
      <c r="P151" s="669">
        <f t="shared" si="22"/>
        <v>0</v>
      </c>
    </row>
    <row r="152" spans="2:16">
      <c r="B152" s="9" t="str">
        <f t="shared" si="15"/>
        <v/>
      </c>
      <c r="C152" s="662">
        <f>IF(D93="","-",+C151+1)</f>
        <v>2075</v>
      </c>
      <c r="D152" s="663">
        <f>IF(F151+SUM(E$99:E151)=D$92,F151,D$92-SUM(E$99:E151))</f>
        <v>0</v>
      </c>
      <c r="E152" s="484">
        <f t="shared" si="16"/>
        <v>0</v>
      </c>
      <c r="F152" s="664">
        <f t="shared" si="17"/>
        <v>0</v>
      </c>
      <c r="G152" s="664">
        <f t="shared" si="18"/>
        <v>0</v>
      </c>
      <c r="H152" s="701">
        <f t="shared" si="12"/>
        <v>0</v>
      </c>
      <c r="I152" s="702">
        <f t="shared" si="13"/>
        <v>0</v>
      </c>
      <c r="J152" s="669">
        <f t="shared" si="19"/>
        <v>0</v>
      </c>
      <c r="K152" s="669"/>
      <c r="L152" s="132"/>
      <c r="M152" s="669">
        <f t="shared" si="20"/>
        <v>0</v>
      </c>
      <c r="N152" s="132"/>
      <c r="O152" s="669">
        <f t="shared" si="21"/>
        <v>0</v>
      </c>
      <c r="P152" s="669">
        <f t="shared" si="22"/>
        <v>0</v>
      </c>
    </row>
    <row r="153" spans="2:16">
      <c r="B153" s="9" t="str">
        <f t="shared" si="15"/>
        <v/>
      </c>
      <c r="C153" s="662">
        <f>IF(D93="","-",+C152+1)</f>
        <v>2076</v>
      </c>
      <c r="D153" s="663">
        <f>IF(F152+SUM(E$99:E152)=D$92,F152,D$92-SUM(E$99:E152))</f>
        <v>0</v>
      </c>
      <c r="E153" s="484">
        <f t="shared" si="16"/>
        <v>0</v>
      </c>
      <c r="F153" s="664">
        <f t="shared" si="17"/>
        <v>0</v>
      </c>
      <c r="G153" s="664">
        <f t="shared" si="18"/>
        <v>0</v>
      </c>
      <c r="H153" s="701">
        <f t="shared" si="12"/>
        <v>0</v>
      </c>
      <c r="I153" s="702">
        <f t="shared" si="13"/>
        <v>0</v>
      </c>
      <c r="J153" s="669">
        <f t="shared" si="19"/>
        <v>0</v>
      </c>
      <c r="K153" s="669"/>
      <c r="L153" s="132"/>
      <c r="M153" s="669">
        <f t="shared" si="20"/>
        <v>0</v>
      </c>
      <c r="N153" s="132"/>
      <c r="O153" s="669">
        <f t="shared" si="21"/>
        <v>0</v>
      </c>
      <c r="P153" s="669">
        <f t="shared" si="22"/>
        <v>0</v>
      </c>
    </row>
    <row r="154" spans="2:16" ht="13.5" thickBot="1">
      <c r="B154" s="9" t="str">
        <f t="shared" si="15"/>
        <v/>
      </c>
      <c r="C154" s="671">
        <f>IF(D93="","-",+C153+1)</f>
        <v>2077</v>
      </c>
      <c r="D154" s="697">
        <f>IF(F153+SUM(E$99:E153)=D$92,F153,D$92-SUM(E$99:E153))</f>
        <v>0</v>
      </c>
      <c r="E154" s="491">
        <f t="shared" si="16"/>
        <v>0</v>
      </c>
      <c r="F154" s="672">
        <f t="shared" si="17"/>
        <v>0</v>
      </c>
      <c r="G154" s="672">
        <f t="shared" si="18"/>
        <v>0</v>
      </c>
      <c r="H154" s="613">
        <f t="shared" si="12"/>
        <v>0</v>
      </c>
      <c r="I154" s="614">
        <f t="shared" si="13"/>
        <v>0</v>
      </c>
      <c r="J154" s="675">
        <f t="shared" si="19"/>
        <v>0</v>
      </c>
      <c r="K154" s="669"/>
      <c r="L154" s="133"/>
      <c r="M154" s="675">
        <f t="shared" si="20"/>
        <v>0</v>
      </c>
      <c r="N154" s="133"/>
      <c r="O154" s="675">
        <f t="shared" si="21"/>
        <v>0</v>
      </c>
      <c r="P154" s="675">
        <f t="shared" si="22"/>
        <v>0</v>
      </c>
    </row>
    <row r="155" spans="2:16">
      <c r="C155" s="663" t="s">
        <v>77</v>
      </c>
      <c r="D155" s="642"/>
      <c r="E155" s="642">
        <f>SUM(E99:E154)</f>
        <v>31450.100000000006</v>
      </c>
      <c r="F155" s="642"/>
      <c r="G155" s="642"/>
      <c r="H155" s="642">
        <f>SUM(H99:H154)</f>
        <v>104332.14089663854</v>
      </c>
      <c r="I155" s="642">
        <f>SUM(I99:I154)</f>
        <v>104332.14089663854</v>
      </c>
      <c r="J155" s="642">
        <f>SUM(J99:J154)</f>
        <v>0</v>
      </c>
      <c r="K155" s="642"/>
      <c r="L155" s="642"/>
      <c r="M155" s="642"/>
      <c r="N155" s="642"/>
      <c r="O155" s="642"/>
      <c r="P155" s="635"/>
    </row>
    <row r="156" spans="2:16">
      <c r="C156" t="s">
        <v>100</v>
      </c>
      <c r="D156" s="636"/>
      <c r="E156" s="635"/>
      <c r="F156" s="635"/>
      <c r="G156" s="635"/>
      <c r="H156" s="635"/>
      <c r="I156" s="638"/>
      <c r="J156" s="638"/>
      <c r="K156" s="642"/>
      <c r="L156" s="638"/>
      <c r="M156" s="638"/>
      <c r="N156" s="638"/>
      <c r="O156" s="638"/>
      <c r="P156" s="635"/>
    </row>
    <row r="157" spans="2:16">
      <c r="C157" s="99"/>
      <c r="D157" s="636"/>
      <c r="E157" s="635"/>
      <c r="F157" s="635"/>
      <c r="G157" s="635"/>
      <c r="H157" s="635"/>
      <c r="I157" s="638"/>
      <c r="J157" s="638"/>
      <c r="K157" s="642"/>
      <c r="L157" s="638"/>
      <c r="M157" s="638"/>
      <c r="N157" s="638"/>
      <c r="O157" s="638"/>
      <c r="P157" s="635"/>
    </row>
    <row r="158" spans="2:16">
      <c r="C158" s="115" t="s">
        <v>148</v>
      </c>
      <c r="D158" s="636"/>
      <c r="E158" s="635"/>
      <c r="F158" s="635"/>
      <c r="G158" s="635"/>
      <c r="H158" s="635"/>
      <c r="I158" s="638"/>
      <c r="J158" s="638"/>
      <c r="K158" s="642"/>
      <c r="L158" s="638"/>
      <c r="M158" s="638"/>
      <c r="N158" s="638"/>
      <c r="O158" s="638"/>
      <c r="P158" s="635"/>
    </row>
    <row r="159" spans="2:16">
      <c r="C159" s="645" t="s">
        <v>78</v>
      </c>
      <c r="D159" s="663"/>
      <c r="E159" s="663"/>
      <c r="F159" s="663"/>
      <c r="G159" s="663"/>
      <c r="H159" s="642"/>
      <c r="I159" s="642"/>
      <c r="J159" s="676"/>
      <c r="K159" s="676"/>
      <c r="L159" s="676"/>
      <c r="M159" s="676"/>
      <c r="N159" s="676"/>
      <c r="O159" s="676"/>
      <c r="P159" s="635"/>
    </row>
    <row r="160" spans="2:16">
      <c r="C160" s="698" t="s">
        <v>79</v>
      </c>
      <c r="D160" s="663"/>
      <c r="E160" s="663"/>
      <c r="F160" s="663"/>
      <c r="G160" s="663"/>
      <c r="H160" s="642"/>
      <c r="I160" s="642"/>
      <c r="J160" s="676"/>
      <c r="K160" s="676"/>
      <c r="L160" s="676"/>
      <c r="M160" s="676"/>
      <c r="N160" s="676"/>
      <c r="O160" s="676"/>
      <c r="P160" s="635"/>
    </row>
    <row r="161" spans="3:16">
      <c r="C161" s="698"/>
      <c r="D161" s="663"/>
      <c r="E161" s="663"/>
      <c r="F161" s="663"/>
      <c r="G161" s="663"/>
      <c r="H161" s="642"/>
      <c r="I161" s="642"/>
      <c r="J161" s="676"/>
      <c r="K161" s="676"/>
      <c r="L161" s="676"/>
      <c r="M161" s="676"/>
      <c r="N161" s="676"/>
      <c r="O161" s="676"/>
      <c r="P161" s="635"/>
    </row>
    <row r="162" spans="3:16" ht="18">
      <c r="C162" s="698"/>
      <c r="D162" s="663"/>
      <c r="E162" s="663"/>
      <c r="F162" s="663"/>
      <c r="G162" s="663"/>
      <c r="H162" s="642"/>
      <c r="I162" s="642"/>
      <c r="J162" s="676"/>
      <c r="K162" s="676"/>
      <c r="L162" s="676"/>
      <c r="M162" s="676"/>
      <c r="N162" s="676"/>
      <c r="P162" s="699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4AAE-D46C-463D-AC52-DE26EE120341}">
  <dimension ref="A1:P162"/>
  <sheetViews>
    <sheetView zoomScale="80" zoomScaleNormal="80" workbookViewId="0">
      <selection activeCell="T25" sqref="T25"/>
    </sheetView>
  </sheetViews>
  <sheetFormatPr defaultColWidth="8.7109375" defaultRowHeight="12.75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635"/>
      <c r="C1" s="635"/>
      <c r="D1" s="636"/>
      <c r="E1" s="635"/>
      <c r="F1" s="637"/>
      <c r="G1" s="635"/>
      <c r="H1" s="638"/>
      <c r="K1" s="19"/>
      <c r="L1" s="19"/>
      <c r="M1" s="19"/>
      <c r="P1" s="639" t="s">
        <v>365</v>
      </c>
    </row>
    <row r="2" spans="1:16" ht="18">
      <c r="B2" s="635"/>
      <c r="C2" s="635"/>
      <c r="D2" s="636"/>
      <c r="E2" s="635"/>
      <c r="F2" s="635"/>
      <c r="G2" s="635"/>
      <c r="H2" s="638"/>
      <c r="I2" s="635"/>
      <c r="J2" s="635"/>
      <c r="K2" s="635"/>
      <c r="L2" s="635"/>
      <c r="M2" s="635"/>
      <c r="N2" s="635"/>
      <c r="P2" s="117" t="s">
        <v>150</v>
      </c>
    </row>
    <row r="3" spans="1:16" ht="18.75">
      <c r="B3" s="640" t="s">
        <v>42</v>
      </c>
      <c r="C3" s="641" t="s">
        <v>43</v>
      </c>
      <c r="D3" s="636"/>
      <c r="E3" s="635"/>
      <c r="F3" s="635"/>
      <c r="G3" s="635"/>
      <c r="H3" s="638"/>
      <c r="I3" s="638"/>
      <c r="J3" s="642"/>
      <c r="K3" s="638"/>
      <c r="L3" s="638"/>
      <c r="M3" s="638"/>
      <c r="N3" s="638"/>
      <c r="O3" s="635"/>
      <c r="P3" s="108">
        <v>1</v>
      </c>
    </row>
    <row r="4" spans="1:16" ht="15.75" thickBot="1">
      <c r="C4" s="643"/>
      <c r="D4" s="636"/>
      <c r="E4" s="635"/>
      <c r="F4" s="635"/>
      <c r="G4" s="635"/>
      <c r="H4" s="638"/>
      <c r="I4" s="638"/>
      <c r="J4" s="642"/>
      <c r="K4" s="638"/>
      <c r="L4" s="638"/>
      <c r="M4" s="638"/>
      <c r="N4" s="638"/>
      <c r="O4" s="635"/>
      <c r="P4" s="635"/>
    </row>
    <row r="5" spans="1:16" ht="15">
      <c r="C5" s="21" t="s">
        <v>44</v>
      </c>
      <c r="D5" s="636"/>
      <c r="E5" s="635"/>
      <c r="F5" s="635"/>
      <c r="G5" s="421"/>
      <c r="H5" s="635" t="s">
        <v>45</v>
      </c>
      <c r="I5" s="635"/>
      <c r="J5" s="635"/>
      <c r="K5" s="23" t="s">
        <v>281</v>
      </c>
      <c r="L5" s="24"/>
      <c r="M5" s="644"/>
      <c r="N5" s="425">
        <f>VLOOKUP(I10,C17:I72,5)</f>
        <v>90185.047613691771</v>
      </c>
      <c r="P5" s="635"/>
    </row>
    <row r="6" spans="1:16" ht="15.75">
      <c r="C6" s="8"/>
      <c r="D6" s="636"/>
      <c r="E6" s="635"/>
      <c r="F6" s="635"/>
      <c r="G6" s="635"/>
      <c r="H6" s="426"/>
      <c r="I6" s="426"/>
      <c r="J6" s="427"/>
      <c r="K6" s="29" t="s">
        <v>282</v>
      </c>
      <c r="L6" s="429"/>
      <c r="M6" s="635"/>
      <c r="N6" s="430">
        <f>VLOOKUP(I10,C17:I72,6)</f>
        <v>90185.047613691771</v>
      </c>
      <c r="O6" s="635"/>
      <c r="P6" s="635"/>
    </row>
    <row r="7" spans="1:16" ht="13.5" thickBot="1">
      <c r="C7" s="645" t="s">
        <v>46</v>
      </c>
      <c r="D7" s="617" t="s">
        <v>339</v>
      </c>
      <c r="E7" s="635"/>
      <c r="F7" s="635"/>
      <c r="G7" s="635"/>
      <c r="H7" s="638"/>
      <c r="I7" s="638"/>
      <c r="J7" s="642"/>
      <c r="K7" s="433" t="s">
        <v>47</v>
      </c>
      <c r="L7" s="646"/>
      <c r="M7" s="646"/>
      <c r="N7" s="647">
        <f>+N6-N5</f>
        <v>0</v>
      </c>
      <c r="O7" s="635"/>
      <c r="P7" s="635"/>
    </row>
    <row r="8" spans="1:16" ht="13.5" thickBot="1">
      <c r="C8" s="648"/>
      <c r="D8" s="9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35"/>
    </row>
    <row r="9" spans="1:16" ht="13.5" thickBot="1">
      <c r="C9" s="650" t="s">
        <v>48</v>
      </c>
      <c r="D9" s="106" t="s">
        <v>342</v>
      </c>
      <c r="E9" s="651" t="s">
        <v>340</v>
      </c>
      <c r="F9" s="652"/>
      <c r="G9" s="652"/>
      <c r="H9" s="652"/>
      <c r="I9" s="653"/>
      <c r="J9" s="654"/>
      <c r="P9" s="635"/>
    </row>
    <row r="10" spans="1:16">
      <c r="C10" s="655" t="s">
        <v>226</v>
      </c>
      <c r="D10" s="447">
        <v>1504560.18</v>
      </c>
      <c r="E10" s="635" t="s">
        <v>51</v>
      </c>
      <c r="G10" s="636"/>
      <c r="H10" s="636"/>
      <c r="I10" s="656">
        <v>2022</v>
      </c>
      <c r="J10" s="654"/>
      <c r="K10" s="642" t="s">
        <v>52</v>
      </c>
      <c r="O10" s="635"/>
      <c r="P10" s="635"/>
    </row>
    <row r="11" spans="1:16">
      <c r="C11" s="657" t="s">
        <v>53</v>
      </c>
      <c r="D11" s="47">
        <v>2022</v>
      </c>
      <c r="E11" s="657" t="s">
        <v>54</v>
      </c>
      <c r="F11" s="636"/>
      <c r="I11" s="658">
        <v>0</v>
      </c>
      <c r="J11" s="65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5"/>
      <c r="P11" s="635"/>
    </row>
    <row r="12" spans="1:16">
      <c r="C12" s="657" t="s">
        <v>55</v>
      </c>
      <c r="D12" s="447">
        <v>11</v>
      </c>
      <c r="E12" s="657" t="s">
        <v>56</v>
      </c>
      <c r="F12" s="636"/>
      <c r="I12" s="660">
        <v>0.10781124580725182</v>
      </c>
      <c r="J12" s="637"/>
      <c r="K12" t="s">
        <v>57</v>
      </c>
      <c r="O12" s="635"/>
      <c r="P12" s="635"/>
    </row>
    <row r="13" spans="1:16">
      <c r="C13" s="657" t="s">
        <v>58</v>
      </c>
      <c r="D13" s="658">
        <v>42</v>
      </c>
      <c r="E13" s="657" t="s">
        <v>59</v>
      </c>
      <c r="F13" s="636"/>
      <c r="I13" s="660">
        <v>0.10781124580725182</v>
      </c>
      <c r="J13" s="637"/>
      <c r="K13" s="642" t="s">
        <v>60</v>
      </c>
      <c r="L13" s="637"/>
      <c r="M13" s="637"/>
      <c r="N13" s="637"/>
      <c r="O13" s="635"/>
      <c r="P13" s="635"/>
    </row>
    <row r="14" spans="1:16" ht="13.5" thickBot="1">
      <c r="C14" s="657" t="s">
        <v>61</v>
      </c>
      <c r="D14" s="47" t="s">
        <v>62</v>
      </c>
      <c r="E14" s="635" t="s">
        <v>63</v>
      </c>
      <c r="F14" s="636"/>
      <c r="I14" s="661">
        <f>IF(D10=0,0,D10/D13)</f>
        <v>35822.861428571428</v>
      </c>
      <c r="J14" s="642"/>
      <c r="K14" s="642"/>
      <c r="L14" s="642"/>
      <c r="M14" s="642"/>
      <c r="N14" s="642"/>
      <c r="O14" s="635"/>
      <c r="P14" s="635"/>
    </row>
    <row r="15" spans="1:16" ht="38.25">
      <c r="C15" s="53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53" t="s">
        <v>67</v>
      </c>
      <c r="J15" s="55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635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5" t="s">
        <v>73</v>
      </c>
      <c r="H16" s="466" t="s">
        <v>74</v>
      </c>
      <c r="I16" s="57" t="s">
        <v>104</v>
      </c>
      <c r="J16" s="55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635"/>
    </row>
    <row r="17" spans="2:16">
      <c r="B17" s="9"/>
      <c r="C17" s="662">
        <f>IF(D11= "","-",D11)</f>
        <v>2022</v>
      </c>
      <c r="D17" s="621">
        <v>0</v>
      </c>
      <c r="E17" s="622">
        <v>3207.7738095238096</v>
      </c>
      <c r="F17" s="623">
        <v>1613510.2261904762</v>
      </c>
      <c r="G17" s="622">
        <v>90185.047613691771</v>
      </c>
      <c r="H17" s="624">
        <v>90185.047613691771</v>
      </c>
      <c r="I17" s="666">
        <f>H17-G17</f>
        <v>0</v>
      </c>
      <c r="J17" s="666"/>
      <c r="K17" s="667">
        <f>+G17</f>
        <v>90185.047613691771</v>
      </c>
      <c r="L17" s="668">
        <f t="shared" ref="L17:L72" si="0">IF(K17&lt;&gt;0,+G17-K17,0)</f>
        <v>0</v>
      </c>
      <c r="M17" s="667">
        <f>+H17</f>
        <v>90185.047613691771</v>
      </c>
      <c r="N17" s="668">
        <f t="shared" ref="N17:N72" si="1">IF(M17&lt;&gt;0,+H17-M17,0)</f>
        <v>0</v>
      </c>
      <c r="O17" s="669">
        <f t="shared" ref="O17:O72" si="2">+N17-L17</f>
        <v>0</v>
      </c>
      <c r="P17" s="635"/>
    </row>
    <row r="18" spans="2:16">
      <c r="B18" s="9" t="str">
        <f>IF(D18=F17,"","IU")</f>
        <v>IU</v>
      </c>
      <c r="C18" s="662">
        <f>IF(D11="","-",+C17+1)</f>
        <v>2023</v>
      </c>
      <c r="D18" s="664">
        <f>IF(F17+SUM(E$17:E17)=D$10,F17,D$10-SUM(E$17:E17))</f>
        <v>1501352.4061904761</v>
      </c>
      <c r="E18" s="69">
        <f>IF(+I$14&lt;F17,I$14,D18)</f>
        <v>35822.861428571428</v>
      </c>
      <c r="F18" s="664">
        <f>+D18-E18</f>
        <v>1465529.5447619047</v>
      </c>
      <c r="G18" s="670">
        <f>(D18+F18)/2*I$12+E18</f>
        <v>195754.48107618443</v>
      </c>
      <c r="H18" s="665">
        <f>+(D18+F18)/2*I$13+E18</f>
        <v>195754.48107618443</v>
      </c>
      <c r="I18" s="666">
        <f>H18-G18</f>
        <v>0</v>
      </c>
      <c r="J18" s="666"/>
      <c r="K18" s="132"/>
      <c r="L18" s="669">
        <f t="shared" si="0"/>
        <v>0</v>
      </c>
      <c r="M18" s="132"/>
      <c r="N18" s="669">
        <f t="shared" si="1"/>
        <v>0</v>
      </c>
      <c r="O18" s="669">
        <f t="shared" si="2"/>
        <v>0</v>
      </c>
      <c r="P18" s="635"/>
    </row>
    <row r="19" spans="2:16">
      <c r="B19" s="9" t="str">
        <f>IF(D19=F18,"","IU")</f>
        <v/>
      </c>
      <c r="C19" s="662">
        <f>IF(D11="","-",+C18+1)</f>
        <v>2024</v>
      </c>
      <c r="D19" s="664">
        <f>IF(F18+SUM(E$17:E18)=D$10,F18,D$10-SUM(E$17:E18))</f>
        <v>1465529.5447619047</v>
      </c>
      <c r="E19" s="69">
        <f t="shared" ref="E19:E71" si="3">IF(+I$14&lt;F18,I$14,D19)</f>
        <v>35822.861428571428</v>
      </c>
      <c r="F19" s="664">
        <f t="shared" ref="F19:F71" si="4">+D19-E19</f>
        <v>1429706.6833333333</v>
      </c>
      <c r="G19" s="670">
        <f t="shared" ref="G19:G71" si="5">(D19+F19)/2*I$12+E19</f>
        <v>191892.37375718958</v>
      </c>
      <c r="H19" s="665">
        <f t="shared" ref="H19:H71" si="6">+(D19+F19)/2*I$13+E19</f>
        <v>191892.37375718958</v>
      </c>
      <c r="I19" s="666">
        <f t="shared" ref="I19:I71" si="7">H19-G19</f>
        <v>0</v>
      </c>
      <c r="J19" s="666"/>
      <c r="K19" s="132"/>
      <c r="L19" s="669">
        <f t="shared" si="0"/>
        <v>0</v>
      </c>
      <c r="M19" s="132"/>
      <c r="N19" s="669">
        <f t="shared" si="1"/>
        <v>0</v>
      </c>
      <c r="O19" s="669">
        <f t="shared" si="2"/>
        <v>0</v>
      </c>
      <c r="P19" s="635"/>
    </row>
    <row r="20" spans="2:16">
      <c r="B20" s="9" t="str">
        <f t="shared" ref="B20:B72" si="8">IF(D20=F19,"","IU")</f>
        <v/>
      </c>
      <c r="C20" s="662">
        <f>IF(D11="","-",+C19+1)</f>
        <v>2025</v>
      </c>
      <c r="D20" s="664">
        <f>IF(F19+SUM(E$17:E19)=D$10,F19,D$10-SUM(E$17:E19))</f>
        <v>1429706.6833333333</v>
      </c>
      <c r="E20" s="69">
        <f t="shared" si="3"/>
        <v>35822.861428571428</v>
      </c>
      <c r="F20" s="664">
        <f t="shared" si="4"/>
        <v>1393883.8219047619</v>
      </c>
      <c r="G20" s="670">
        <f t="shared" si="5"/>
        <v>188030.26643819475</v>
      </c>
      <c r="H20" s="665">
        <f t="shared" si="6"/>
        <v>188030.26643819475</v>
      </c>
      <c r="I20" s="666">
        <f t="shared" si="7"/>
        <v>0</v>
      </c>
      <c r="J20" s="666"/>
      <c r="K20" s="132"/>
      <c r="L20" s="669">
        <f t="shared" si="0"/>
        <v>0</v>
      </c>
      <c r="M20" s="132"/>
      <c r="N20" s="669">
        <f t="shared" si="1"/>
        <v>0</v>
      </c>
      <c r="O20" s="669">
        <f t="shared" si="2"/>
        <v>0</v>
      </c>
      <c r="P20" s="635"/>
    </row>
    <row r="21" spans="2:16">
      <c r="B21" s="9" t="str">
        <f t="shared" si="8"/>
        <v/>
      </c>
      <c r="C21" s="662">
        <f>IF(D11="","-",+C20+1)</f>
        <v>2026</v>
      </c>
      <c r="D21" s="664">
        <f>IF(F20+SUM(E$17:E20)=D$10,F20,D$10-SUM(E$17:E20))</f>
        <v>1393883.8219047619</v>
      </c>
      <c r="E21" s="69">
        <f t="shared" si="3"/>
        <v>35822.861428571428</v>
      </c>
      <c r="F21" s="664">
        <f t="shared" si="4"/>
        <v>1358060.9604761906</v>
      </c>
      <c r="G21" s="670">
        <f t="shared" si="5"/>
        <v>184168.15911919993</v>
      </c>
      <c r="H21" s="665">
        <f t="shared" si="6"/>
        <v>184168.15911919993</v>
      </c>
      <c r="I21" s="666">
        <f t="shared" si="7"/>
        <v>0</v>
      </c>
      <c r="J21" s="666"/>
      <c r="K21" s="132"/>
      <c r="L21" s="669">
        <f t="shared" si="0"/>
        <v>0</v>
      </c>
      <c r="M21" s="132"/>
      <c r="N21" s="669">
        <f t="shared" si="1"/>
        <v>0</v>
      </c>
      <c r="O21" s="669">
        <f t="shared" si="2"/>
        <v>0</v>
      </c>
      <c r="P21" s="635"/>
    </row>
    <row r="22" spans="2:16">
      <c r="B22" s="9" t="str">
        <f t="shared" si="8"/>
        <v/>
      </c>
      <c r="C22" s="662">
        <f>IF(D11="","-",+C21+1)</f>
        <v>2027</v>
      </c>
      <c r="D22" s="664">
        <f>IF(F21+SUM(E$17:E21)=D$10,F21,D$10-SUM(E$17:E21))</f>
        <v>1358060.9604761906</v>
      </c>
      <c r="E22" s="69">
        <f t="shared" si="3"/>
        <v>35822.861428571428</v>
      </c>
      <c r="F22" s="664">
        <f t="shared" si="4"/>
        <v>1322238.0990476192</v>
      </c>
      <c r="G22" s="670">
        <f t="shared" si="5"/>
        <v>180306.05180020508</v>
      </c>
      <c r="H22" s="665">
        <f t="shared" si="6"/>
        <v>180306.05180020508</v>
      </c>
      <c r="I22" s="666">
        <f t="shared" si="7"/>
        <v>0</v>
      </c>
      <c r="J22" s="666"/>
      <c r="K22" s="132"/>
      <c r="L22" s="669">
        <f t="shared" si="0"/>
        <v>0</v>
      </c>
      <c r="M22" s="132"/>
      <c r="N22" s="669">
        <f t="shared" si="1"/>
        <v>0</v>
      </c>
      <c r="O22" s="669">
        <f t="shared" si="2"/>
        <v>0</v>
      </c>
      <c r="P22" s="635"/>
    </row>
    <row r="23" spans="2:16">
      <c r="B23" s="9" t="str">
        <f t="shared" si="8"/>
        <v/>
      </c>
      <c r="C23" s="662">
        <f>IF(D11="","-",+C22+1)</f>
        <v>2028</v>
      </c>
      <c r="D23" s="664">
        <f>IF(F22+SUM(E$17:E22)=D$10,F22,D$10-SUM(E$17:E22))</f>
        <v>1322238.0990476192</v>
      </c>
      <c r="E23" s="69">
        <f t="shared" si="3"/>
        <v>35822.861428571428</v>
      </c>
      <c r="F23" s="664">
        <f t="shared" si="4"/>
        <v>1286415.2376190478</v>
      </c>
      <c r="G23" s="670">
        <f t="shared" si="5"/>
        <v>176443.94448121026</v>
      </c>
      <c r="H23" s="665">
        <f t="shared" si="6"/>
        <v>176443.94448121026</v>
      </c>
      <c r="I23" s="666">
        <f t="shared" si="7"/>
        <v>0</v>
      </c>
      <c r="J23" s="666"/>
      <c r="K23" s="132"/>
      <c r="L23" s="669">
        <f t="shared" si="0"/>
        <v>0</v>
      </c>
      <c r="M23" s="132"/>
      <c r="N23" s="669">
        <f t="shared" si="1"/>
        <v>0</v>
      </c>
      <c r="O23" s="669">
        <f t="shared" si="2"/>
        <v>0</v>
      </c>
      <c r="P23" s="635"/>
    </row>
    <row r="24" spans="2:16">
      <c r="B24" s="9" t="str">
        <f t="shared" si="8"/>
        <v/>
      </c>
      <c r="C24" s="662">
        <f>IF(D11="","-",+C23+1)</f>
        <v>2029</v>
      </c>
      <c r="D24" s="664">
        <f>IF(F23+SUM(E$17:E23)=D$10,F23,D$10-SUM(E$17:E23))</f>
        <v>1286415.2376190478</v>
      </c>
      <c r="E24" s="69">
        <f t="shared" si="3"/>
        <v>35822.861428571428</v>
      </c>
      <c r="F24" s="664">
        <f t="shared" si="4"/>
        <v>1250592.3761904764</v>
      </c>
      <c r="G24" s="670">
        <f t="shared" si="5"/>
        <v>172581.83716221544</v>
      </c>
      <c r="H24" s="665">
        <f t="shared" si="6"/>
        <v>172581.83716221544</v>
      </c>
      <c r="I24" s="666">
        <f t="shared" si="7"/>
        <v>0</v>
      </c>
      <c r="J24" s="666"/>
      <c r="K24" s="132"/>
      <c r="L24" s="669">
        <f t="shared" si="0"/>
        <v>0</v>
      </c>
      <c r="M24" s="132"/>
      <c r="N24" s="669">
        <f t="shared" si="1"/>
        <v>0</v>
      </c>
      <c r="O24" s="669">
        <f t="shared" si="2"/>
        <v>0</v>
      </c>
      <c r="P24" s="635"/>
    </row>
    <row r="25" spans="2:16">
      <c r="B25" s="9" t="str">
        <f t="shared" si="8"/>
        <v/>
      </c>
      <c r="C25" s="662">
        <f>IF(D11="","-",+C24+1)</f>
        <v>2030</v>
      </c>
      <c r="D25" s="664">
        <f>IF(F24+SUM(E$17:E24)=D$10,F24,D$10-SUM(E$17:E24))</f>
        <v>1250592.3761904764</v>
      </c>
      <c r="E25" s="69">
        <f t="shared" si="3"/>
        <v>35822.861428571428</v>
      </c>
      <c r="F25" s="664">
        <f t="shared" si="4"/>
        <v>1214769.514761905</v>
      </c>
      <c r="G25" s="670">
        <f t="shared" si="5"/>
        <v>168719.72984322059</v>
      </c>
      <c r="H25" s="665">
        <f t="shared" si="6"/>
        <v>168719.72984322059</v>
      </c>
      <c r="I25" s="666">
        <f t="shared" si="7"/>
        <v>0</v>
      </c>
      <c r="J25" s="666"/>
      <c r="K25" s="132"/>
      <c r="L25" s="669">
        <f t="shared" si="0"/>
        <v>0</v>
      </c>
      <c r="M25" s="132"/>
      <c r="N25" s="669">
        <f t="shared" si="1"/>
        <v>0</v>
      </c>
      <c r="O25" s="669">
        <f t="shared" si="2"/>
        <v>0</v>
      </c>
      <c r="P25" s="635"/>
    </row>
    <row r="26" spans="2:16">
      <c r="B26" s="9" t="str">
        <f t="shared" si="8"/>
        <v/>
      </c>
      <c r="C26" s="662">
        <f>IF(D11="","-",+C25+1)</f>
        <v>2031</v>
      </c>
      <c r="D26" s="664">
        <f>IF(F25+SUM(E$17:E25)=D$10,F25,D$10-SUM(E$17:E25))</f>
        <v>1214769.514761905</v>
      </c>
      <c r="E26" s="69">
        <f t="shared" si="3"/>
        <v>35822.861428571428</v>
      </c>
      <c r="F26" s="664">
        <f t="shared" si="4"/>
        <v>1178946.6533333336</v>
      </c>
      <c r="G26" s="670">
        <f t="shared" si="5"/>
        <v>164857.62252422576</v>
      </c>
      <c r="H26" s="665">
        <f t="shared" si="6"/>
        <v>164857.62252422576</v>
      </c>
      <c r="I26" s="666">
        <f t="shared" si="7"/>
        <v>0</v>
      </c>
      <c r="J26" s="666"/>
      <c r="K26" s="132"/>
      <c r="L26" s="669">
        <f t="shared" si="0"/>
        <v>0</v>
      </c>
      <c r="M26" s="132"/>
      <c r="N26" s="669">
        <f t="shared" si="1"/>
        <v>0</v>
      </c>
      <c r="O26" s="669">
        <f t="shared" si="2"/>
        <v>0</v>
      </c>
      <c r="P26" s="635"/>
    </row>
    <row r="27" spans="2:16">
      <c r="B27" s="9" t="str">
        <f t="shared" si="8"/>
        <v/>
      </c>
      <c r="C27" s="662">
        <f>IF(D11="","-",+C26+1)</f>
        <v>2032</v>
      </c>
      <c r="D27" s="664">
        <f>IF(F26+SUM(E$17:E26)=D$10,F26,D$10-SUM(E$17:E26))</f>
        <v>1178946.6533333336</v>
      </c>
      <c r="E27" s="69">
        <f t="shared" si="3"/>
        <v>35822.861428571428</v>
      </c>
      <c r="F27" s="664">
        <f t="shared" si="4"/>
        <v>1143123.7919047622</v>
      </c>
      <c r="G27" s="670">
        <f t="shared" si="5"/>
        <v>160995.51520523094</v>
      </c>
      <c r="H27" s="665">
        <f t="shared" si="6"/>
        <v>160995.51520523094</v>
      </c>
      <c r="I27" s="666">
        <f t="shared" si="7"/>
        <v>0</v>
      </c>
      <c r="J27" s="666"/>
      <c r="K27" s="132"/>
      <c r="L27" s="669">
        <f t="shared" si="0"/>
        <v>0</v>
      </c>
      <c r="M27" s="132"/>
      <c r="N27" s="669">
        <f t="shared" si="1"/>
        <v>0</v>
      </c>
      <c r="O27" s="669">
        <f t="shared" si="2"/>
        <v>0</v>
      </c>
      <c r="P27" s="635"/>
    </row>
    <row r="28" spans="2:16">
      <c r="B28" s="9" t="str">
        <f t="shared" si="8"/>
        <v/>
      </c>
      <c r="C28" s="662">
        <f>IF(D11="","-",+C27+1)</f>
        <v>2033</v>
      </c>
      <c r="D28" s="664">
        <f>IF(F27+SUM(E$17:E27)=D$10,F27,D$10-SUM(E$17:E27))</f>
        <v>1143123.7919047622</v>
      </c>
      <c r="E28" s="69">
        <f t="shared" si="3"/>
        <v>35822.861428571428</v>
      </c>
      <c r="F28" s="664">
        <f t="shared" si="4"/>
        <v>1107300.9304761908</v>
      </c>
      <c r="G28" s="670">
        <f t="shared" si="5"/>
        <v>157133.40788623609</v>
      </c>
      <c r="H28" s="665">
        <f t="shared" si="6"/>
        <v>157133.40788623609</v>
      </c>
      <c r="I28" s="666">
        <f t="shared" si="7"/>
        <v>0</v>
      </c>
      <c r="J28" s="666"/>
      <c r="K28" s="132"/>
      <c r="L28" s="669">
        <f t="shared" si="0"/>
        <v>0</v>
      </c>
      <c r="M28" s="132"/>
      <c r="N28" s="669">
        <f t="shared" si="1"/>
        <v>0</v>
      </c>
      <c r="O28" s="669">
        <f t="shared" si="2"/>
        <v>0</v>
      </c>
      <c r="P28" s="635"/>
    </row>
    <row r="29" spans="2:16">
      <c r="B29" s="9" t="str">
        <f t="shared" si="8"/>
        <v/>
      </c>
      <c r="C29" s="662">
        <f>IF(D11="","-",+C28+1)</f>
        <v>2034</v>
      </c>
      <c r="D29" s="664">
        <f>IF(F28+SUM(E$17:E28)=D$10,F28,D$10-SUM(E$17:E28))</f>
        <v>1107300.9304761908</v>
      </c>
      <c r="E29" s="69">
        <f t="shared" si="3"/>
        <v>35822.861428571428</v>
      </c>
      <c r="F29" s="664">
        <f t="shared" si="4"/>
        <v>1071478.0690476194</v>
      </c>
      <c r="G29" s="670">
        <f t="shared" si="5"/>
        <v>153271.30056724127</v>
      </c>
      <c r="H29" s="665">
        <f t="shared" si="6"/>
        <v>153271.30056724127</v>
      </c>
      <c r="I29" s="666">
        <f t="shared" si="7"/>
        <v>0</v>
      </c>
      <c r="J29" s="666"/>
      <c r="K29" s="132"/>
      <c r="L29" s="669">
        <f t="shared" si="0"/>
        <v>0</v>
      </c>
      <c r="M29" s="132"/>
      <c r="N29" s="669">
        <f t="shared" si="1"/>
        <v>0</v>
      </c>
      <c r="O29" s="669">
        <f t="shared" si="2"/>
        <v>0</v>
      </c>
      <c r="P29" s="635"/>
    </row>
    <row r="30" spans="2:16">
      <c r="B30" s="9" t="str">
        <f t="shared" si="8"/>
        <v/>
      </c>
      <c r="C30" s="662">
        <f>IF(D11="","-",+C29+1)</f>
        <v>2035</v>
      </c>
      <c r="D30" s="664">
        <f>IF(F29+SUM(E$17:E29)=D$10,F29,D$10-SUM(E$17:E29))</f>
        <v>1071478.0690476194</v>
      </c>
      <c r="E30" s="69">
        <f t="shared" si="3"/>
        <v>35822.861428571428</v>
      </c>
      <c r="F30" s="664">
        <f t="shared" si="4"/>
        <v>1035655.207619048</v>
      </c>
      <c r="G30" s="670">
        <f t="shared" si="5"/>
        <v>149409.19324824645</v>
      </c>
      <c r="H30" s="665">
        <f t="shared" si="6"/>
        <v>149409.19324824645</v>
      </c>
      <c r="I30" s="666">
        <f t="shared" si="7"/>
        <v>0</v>
      </c>
      <c r="J30" s="666"/>
      <c r="K30" s="132"/>
      <c r="L30" s="669">
        <f t="shared" si="0"/>
        <v>0</v>
      </c>
      <c r="M30" s="132"/>
      <c r="N30" s="669">
        <f t="shared" si="1"/>
        <v>0</v>
      </c>
      <c r="O30" s="669">
        <f t="shared" si="2"/>
        <v>0</v>
      </c>
      <c r="P30" s="635"/>
    </row>
    <row r="31" spans="2:16">
      <c r="B31" s="9" t="str">
        <f t="shared" si="8"/>
        <v/>
      </c>
      <c r="C31" s="662">
        <f>IF(D11="","-",+C30+1)</f>
        <v>2036</v>
      </c>
      <c r="D31" s="664">
        <f>IF(F30+SUM(E$17:E30)=D$10,F30,D$10-SUM(E$17:E30))</f>
        <v>1035655.207619048</v>
      </c>
      <c r="E31" s="69">
        <f t="shared" si="3"/>
        <v>35822.861428571428</v>
      </c>
      <c r="F31" s="664">
        <f t="shared" si="4"/>
        <v>999832.34619047656</v>
      </c>
      <c r="G31" s="670">
        <f t="shared" si="5"/>
        <v>145547.08592925163</v>
      </c>
      <c r="H31" s="665">
        <f t="shared" si="6"/>
        <v>145547.08592925163</v>
      </c>
      <c r="I31" s="666">
        <f t="shared" si="7"/>
        <v>0</v>
      </c>
      <c r="J31" s="666"/>
      <c r="K31" s="132"/>
      <c r="L31" s="669">
        <f t="shared" si="0"/>
        <v>0</v>
      </c>
      <c r="M31" s="132"/>
      <c r="N31" s="669">
        <f t="shared" si="1"/>
        <v>0</v>
      </c>
      <c r="O31" s="669">
        <f t="shared" si="2"/>
        <v>0</v>
      </c>
      <c r="P31" s="635"/>
    </row>
    <row r="32" spans="2:16">
      <c r="B32" s="9" t="str">
        <f t="shared" si="8"/>
        <v/>
      </c>
      <c r="C32" s="662">
        <f>IF(D11="","-",+C31+1)</f>
        <v>2037</v>
      </c>
      <c r="D32" s="664">
        <f>IF(F31+SUM(E$17:E31)=D$10,F31,D$10-SUM(E$17:E31))</f>
        <v>999832.34619047656</v>
      </c>
      <c r="E32" s="69">
        <f t="shared" si="3"/>
        <v>35822.861428571428</v>
      </c>
      <c r="F32" s="664">
        <f t="shared" si="4"/>
        <v>964009.48476190516</v>
      </c>
      <c r="G32" s="670">
        <f t="shared" si="5"/>
        <v>141684.97861025677</v>
      </c>
      <c r="H32" s="665">
        <f t="shared" si="6"/>
        <v>141684.97861025677</v>
      </c>
      <c r="I32" s="666">
        <f t="shared" si="7"/>
        <v>0</v>
      </c>
      <c r="J32" s="666"/>
      <c r="K32" s="132"/>
      <c r="L32" s="669">
        <f t="shared" si="0"/>
        <v>0</v>
      </c>
      <c r="M32" s="132"/>
      <c r="N32" s="669">
        <f t="shared" si="1"/>
        <v>0</v>
      </c>
      <c r="O32" s="669">
        <f t="shared" si="2"/>
        <v>0</v>
      </c>
      <c r="P32" s="635"/>
    </row>
    <row r="33" spans="2:16">
      <c r="B33" s="9" t="str">
        <f t="shared" si="8"/>
        <v/>
      </c>
      <c r="C33" s="662">
        <f>IF(D11="","-",+C32+1)</f>
        <v>2038</v>
      </c>
      <c r="D33" s="664">
        <f>IF(F32+SUM(E$17:E32)=D$10,F32,D$10-SUM(E$17:E32))</f>
        <v>964009.48476190516</v>
      </c>
      <c r="E33" s="69">
        <f t="shared" si="3"/>
        <v>35822.861428571428</v>
      </c>
      <c r="F33" s="664">
        <f t="shared" si="4"/>
        <v>928186.62333333376</v>
      </c>
      <c r="G33" s="670">
        <f t="shared" si="5"/>
        <v>137822.87129126195</v>
      </c>
      <c r="H33" s="665">
        <f t="shared" si="6"/>
        <v>137822.87129126195</v>
      </c>
      <c r="I33" s="666">
        <f t="shared" si="7"/>
        <v>0</v>
      </c>
      <c r="J33" s="666"/>
      <c r="K33" s="132"/>
      <c r="L33" s="669">
        <f t="shared" si="0"/>
        <v>0</v>
      </c>
      <c r="M33" s="132"/>
      <c r="N33" s="669">
        <f t="shared" si="1"/>
        <v>0</v>
      </c>
      <c r="O33" s="669">
        <f t="shared" si="2"/>
        <v>0</v>
      </c>
      <c r="P33" s="635"/>
    </row>
    <row r="34" spans="2:16">
      <c r="B34" s="9" t="str">
        <f t="shared" si="8"/>
        <v/>
      </c>
      <c r="C34" s="662">
        <f>IF(D11="","-",+C33+1)</f>
        <v>2039</v>
      </c>
      <c r="D34" s="664">
        <f>IF(F33+SUM(E$17:E33)=D$10,F33,D$10-SUM(E$17:E33))</f>
        <v>928186.62333333376</v>
      </c>
      <c r="E34" s="69">
        <f t="shared" si="3"/>
        <v>35822.861428571428</v>
      </c>
      <c r="F34" s="664">
        <f t="shared" si="4"/>
        <v>892363.76190476236</v>
      </c>
      <c r="G34" s="670">
        <f t="shared" si="5"/>
        <v>133960.7639722671</v>
      </c>
      <c r="H34" s="665">
        <f t="shared" si="6"/>
        <v>133960.7639722671</v>
      </c>
      <c r="I34" s="666">
        <f t="shared" si="7"/>
        <v>0</v>
      </c>
      <c r="J34" s="666"/>
      <c r="K34" s="132"/>
      <c r="L34" s="669">
        <f t="shared" si="0"/>
        <v>0</v>
      </c>
      <c r="M34" s="132"/>
      <c r="N34" s="669">
        <f t="shared" si="1"/>
        <v>0</v>
      </c>
      <c r="O34" s="669">
        <f t="shared" si="2"/>
        <v>0</v>
      </c>
      <c r="P34" s="635"/>
    </row>
    <row r="35" spans="2:16">
      <c r="B35" s="9" t="str">
        <f t="shared" si="8"/>
        <v/>
      </c>
      <c r="C35" s="662">
        <f>IF(D11="","-",+C34+1)</f>
        <v>2040</v>
      </c>
      <c r="D35" s="664">
        <f>IF(F34+SUM(E$17:E34)=D$10,F34,D$10-SUM(E$17:E34))</f>
        <v>892363.76190476236</v>
      </c>
      <c r="E35" s="69">
        <f t="shared" si="3"/>
        <v>35822.861428571428</v>
      </c>
      <c r="F35" s="664">
        <f t="shared" si="4"/>
        <v>856540.90047619096</v>
      </c>
      <c r="G35" s="670">
        <f t="shared" si="5"/>
        <v>130098.65665327228</v>
      </c>
      <c r="H35" s="665">
        <f t="shared" si="6"/>
        <v>130098.65665327228</v>
      </c>
      <c r="I35" s="666">
        <f t="shared" si="7"/>
        <v>0</v>
      </c>
      <c r="J35" s="666"/>
      <c r="K35" s="132"/>
      <c r="L35" s="669">
        <f t="shared" si="0"/>
        <v>0</v>
      </c>
      <c r="M35" s="132"/>
      <c r="N35" s="669">
        <f t="shared" si="1"/>
        <v>0</v>
      </c>
      <c r="O35" s="669">
        <f t="shared" si="2"/>
        <v>0</v>
      </c>
      <c r="P35" s="635"/>
    </row>
    <row r="36" spans="2:16">
      <c r="B36" s="9" t="str">
        <f t="shared" si="8"/>
        <v/>
      </c>
      <c r="C36" s="662">
        <f>IF(D11="","-",+C35+1)</f>
        <v>2041</v>
      </c>
      <c r="D36" s="664">
        <f>IF(F35+SUM(E$17:E35)=D$10,F35,D$10-SUM(E$17:E35))</f>
        <v>856540.90047619096</v>
      </c>
      <c r="E36" s="69">
        <f t="shared" si="3"/>
        <v>35822.861428571428</v>
      </c>
      <c r="F36" s="664">
        <f t="shared" si="4"/>
        <v>820718.03904761956</v>
      </c>
      <c r="G36" s="670">
        <f t="shared" si="5"/>
        <v>126236.54933427746</v>
      </c>
      <c r="H36" s="665">
        <f t="shared" si="6"/>
        <v>126236.54933427746</v>
      </c>
      <c r="I36" s="666">
        <f t="shared" si="7"/>
        <v>0</v>
      </c>
      <c r="J36" s="666"/>
      <c r="K36" s="132"/>
      <c r="L36" s="669">
        <f t="shared" si="0"/>
        <v>0</v>
      </c>
      <c r="M36" s="132"/>
      <c r="N36" s="669">
        <f t="shared" si="1"/>
        <v>0</v>
      </c>
      <c r="O36" s="669">
        <f t="shared" si="2"/>
        <v>0</v>
      </c>
      <c r="P36" s="635"/>
    </row>
    <row r="37" spans="2:16">
      <c r="B37" s="9" t="str">
        <f t="shared" si="8"/>
        <v/>
      </c>
      <c r="C37" s="662">
        <f>IF(D11="","-",+C36+1)</f>
        <v>2042</v>
      </c>
      <c r="D37" s="664">
        <f>IF(F36+SUM(E$17:E36)=D$10,F36,D$10-SUM(E$17:E36))</f>
        <v>820718.03904761956</v>
      </c>
      <c r="E37" s="69">
        <f t="shared" si="3"/>
        <v>35822.861428571428</v>
      </c>
      <c r="F37" s="664">
        <f t="shared" si="4"/>
        <v>784895.17761904816</v>
      </c>
      <c r="G37" s="670">
        <f t="shared" si="5"/>
        <v>122374.44201528262</v>
      </c>
      <c r="H37" s="665">
        <f t="shared" si="6"/>
        <v>122374.44201528262</v>
      </c>
      <c r="I37" s="666">
        <f t="shared" si="7"/>
        <v>0</v>
      </c>
      <c r="J37" s="666"/>
      <c r="K37" s="132"/>
      <c r="L37" s="669">
        <f t="shared" si="0"/>
        <v>0</v>
      </c>
      <c r="M37" s="132"/>
      <c r="N37" s="669">
        <f t="shared" si="1"/>
        <v>0</v>
      </c>
      <c r="O37" s="669">
        <f t="shared" si="2"/>
        <v>0</v>
      </c>
      <c r="P37" s="635"/>
    </row>
    <row r="38" spans="2:16">
      <c r="B38" s="9" t="str">
        <f t="shared" si="8"/>
        <v/>
      </c>
      <c r="C38" s="662">
        <f>IF(D11="","-",+C37+1)</f>
        <v>2043</v>
      </c>
      <c r="D38" s="664">
        <f>IF(F37+SUM(E$17:E37)=D$10,F37,D$10-SUM(E$17:E37))</f>
        <v>784895.17761904816</v>
      </c>
      <c r="E38" s="69">
        <f t="shared" si="3"/>
        <v>35822.861428571428</v>
      </c>
      <c r="F38" s="664">
        <f t="shared" si="4"/>
        <v>749072.31619047676</v>
      </c>
      <c r="G38" s="670">
        <f t="shared" si="5"/>
        <v>118512.3346962878</v>
      </c>
      <c r="H38" s="665">
        <f t="shared" si="6"/>
        <v>118512.3346962878</v>
      </c>
      <c r="I38" s="666">
        <f t="shared" si="7"/>
        <v>0</v>
      </c>
      <c r="J38" s="666"/>
      <c r="K38" s="132"/>
      <c r="L38" s="669">
        <f t="shared" si="0"/>
        <v>0</v>
      </c>
      <c r="M38" s="132"/>
      <c r="N38" s="669">
        <f t="shared" si="1"/>
        <v>0</v>
      </c>
      <c r="O38" s="669">
        <f t="shared" si="2"/>
        <v>0</v>
      </c>
      <c r="P38" s="635"/>
    </row>
    <row r="39" spans="2:16">
      <c r="B39" s="9" t="str">
        <f t="shared" si="8"/>
        <v/>
      </c>
      <c r="C39" s="662">
        <f>IF(D11="","-",+C38+1)</f>
        <v>2044</v>
      </c>
      <c r="D39" s="664">
        <f>IF(F38+SUM(E$17:E38)=D$10,F38,D$10-SUM(E$17:E38))</f>
        <v>749072.31619047676</v>
      </c>
      <c r="E39" s="69">
        <f t="shared" si="3"/>
        <v>35822.861428571428</v>
      </c>
      <c r="F39" s="664">
        <f t="shared" si="4"/>
        <v>713249.45476190536</v>
      </c>
      <c r="G39" s="670">
        <f t="shared" si="5"/>
        <v>114650.22737729296</v>
      </c>
      <c r="H39" s="665">
        <f t="shared" si="6"/>
        <v>114650.22737729296</v>
      </c>
      <c r="I39" s="666">
        <f t="shared" si="7"/>
        <v>0</v>
      </c>
      <c r="J39" s="666"/>
      <c r="K39" s="132"/>
      <c r="L39" s="669">
        <f t="shared" si="0"/>
        <v>0</v>
      </c>
      <c r="M39" s="132"/>
      <c r="N39" s="669">
        <f t="shared" si="1"/>
        <v>0</v>
      </c>
      <c r="O39" s="669">
        <f t="shared" si="2"/>
        <v>0</v>
      </c>
      <c r="P39" s="635"/>
    </row>
    <row r="40" spans="2:16">
      <c r="B40" s="9" t="str">
        <f t="shared" si="8"/>
        <v/>
      </c>
      <c r="C40" s="662">
        <f>IF(D11="","-",+C39+1)</f>
        <v>2045</v>
      </c>
      <c r="D40" s="664">
        <f>IF(F39+SUM(E$17:E39)=D$10,F39,D$10-SUM(E$17:E39))</f>
        <v>713249.45476190536</v>
      </c>
      <c r="E40" s="69">
        <f t="shared" si="3"/>
        <v>35822.861428571428</v>
      </c>
      <c r="F40" s="664">
        <f t="shared" si="4"/>
        <v>677426.59333333396</v>
      </c>
      <c r="G40" s="670">
        <f t="shared" si="5"/>
        <v>110788.12005829813</v>
      </c>
      <c r="H40" s="665">
        <f t="shared" si="6"/>
        <v>110788.12005829813</v>
      </c>
      <c r="I40" s="666">
        <f t="shared" si="7"/>
        <v>0</v>
      </c>
      <c r="J40" s="666"/>
      <c r="K40" s="132"/>
      <c r="L40" s="669">
        <f t="shared" si="0"/>
        <v>0</v>
      </c>
      <c r="M40" s="132"/>
      <c r="N40" s="669">
        <f t="shared" si="1"/>
        <v>0</v>
      </c>
      <c r="O40" s="669">
        <f t="shared" si="2"/>
        <v>0</v>
      </c>
      <c r="P40" s="635"/>
    </row>
    <row r="41" spans="2:16">
      <c r="B41" s="9" t="str">
        <f t="shared" si="8"/>
        <v/>
      </c>
      <c r="C41" s="662">
        <f>IF(D11="","-",+C40+1)</f>
        <v>2046</v>
      </c>
      <c r="D41" s="664">
        <f>IF(F40+SUM(E$17:E40)=D$10,F40,D$10-SUM(E$17:E40))</f>
        <v>677426.59333333396</v>
      </c>
      <c r="E41" s="69">
        <f t="shared" si="3"/>
        <v>35822.861428571428</v>
      </c>
      <c r="F41" s="664">
        <f t="shared" si="4"/>
        <v>641603.73190476256</v>
      </c>
      <c r="G41" s="670">
        <f t="shared" si="5"/>
        <v>106926.0127393033</v>
      </c>
      <c r="H41" s="665">
        <f t="shared" si="6"/>
        <v>106926.0127393033</v>
      </c>
      <c r="I41" s="666">
        <f t="shared" si="7"/>
        <v>0</v>
      </c>
      <c r="J41" s="666"/>
      <c r="K41" s="132"/>
      <c r="L41" s="669">
        <f t="shared" si="0"/>
        <v>0</v>
      </c>
      <c r="M41" s="132"/>
      <c r="N41" s="669">
        <f t="shared" si="1"/>
        <v>0</v>
      </c>
      <c r="O41" s="669">
        <f t="shared" si="2"/>
        <v>0</v>
      </c>
      <c r="P41" s="635"/>
    </row>
    <row r="42" spans="2:16">
      <c r="B42" s="9" t="str">
        <f t="shared" si="8"/>
        <v/>
      </c>
      <c r="C42" s="662">
        <f>IF(D11="","-",+C41+1)</f>
        <v>2047</v>
      </c>
      <c r="D42" s="664">
        <f>IF(F41+SUM(E$17:E41)=D$10,F41,D$10-SUM(E$17:E41))</f>
        <v>641603.73190476256</v>
      </c>
      <c r="E42" s="69">
        <f t="shared" si="3"/>
        <v>35822.861428571428</v>
      </c>
      <c r="F42" s="664">
        <f t="shared" si="4"/>
        <v>605780.87047619116</v>
      </c>
      <c r="G42" s="670">
        <f t="shared" si="5"/>
        <v>103063.90542030847</v>
      </c>
      <c r="H42" s="665">
        <f t="shared" si="6"/>
        <v>103063.90542030847</v>
      </c>
      <c r="I42" s="666">
        <f t="shared" si="7"/>
        <v>0</v>
      </c>
      <c r="J42" s="666"/>
      <c r="K42" s="132"/>
      <c r="L42" s="669">
        <f t="shared" si="0"/>
        <v>0</v>
      </c>
      <c r="M42" s="132"/>
      <c r="N42" s="669">
        <f t="shared" si="1"/>
        <v>0</v>
      </c>
      <c r="O42" s="669">
        <f t="shared" si="2"/>
        <v>0</v>
      </c>
      <c r="P42" s="635"/>
    </row>
    <row r="43" spans="2:16">
      <c r="B43" s="9" t="str">
        <f t="shared" si="8"/>
        <v/>
      </c>
      <c r="C43" s="662">
        <f>IF(D11="","-",+C42+1)</f>
        <v>2048</v>
      </c>
      <c r="D43" s="664">
        <f>IF(F42+SUM(E$17:E42)=D$10,F42,D$10-SUM(E$17:E42))</f>
        <v>605780.87047619116</v>
      </c>
      <c r="E43" s="69">
        <f t="shared" si="3"/>
        <v>35822.861428571428</v>
      </c>
      <c r="F43" s="664">
        <f t="shared" si="4"/>
        <v>569958.00904761977</v>
      </c>
      <c r="G43" s="670">
        <f t="shared" si="5"/>
        <v>99201.798101313645</v>
      </c>
      <c r="H43" s="665">
        <f t="shared" si="6"/>
        <v>99201.798101313645</v>
      </c>
      <c r="I43" s="666">
        <f t="shared" si="7"/>
        <v>0</v>
      </c>
      <c r="J43" s="666"/>
      <c r="K43" s="132"/>
      <c r="L43" s="669">
        <f t="shared" si="0"/>
        <v>0</v>
      </c>
      <c r="M43" s="132"/>
      <c r="N43" s="669">
        <f t="shared" si="1"/>
        <v>0</v>
      </c>
      <c r="O43" s="669">
        <f t="shared" si="2"/>
        <v>0</v>
      </c>
      <c r="P43" s="635"/>
    </row>
    <row r="44" spans="2:16">
      <c r="B44" s="9" t="str">
        <f t="shared" si="8"/>
        <v/>
      </c>
      <c r="C44" s="662">
        <f>IF(D11="","-",+C43+1)</f>
        <v>2049</v>
      </c>
      <c r="D44" s="664">
        <f>IF(F43+SUM(E$17:E43)=D$10,F43,D$10-SUM(E$17:E43))</f>
        <v>569958.00904761977</v>
      </c>
      <c r="E44" s="69">
        <f t="shared" si="3"/>
        <v>35822.861428571428</v>
      </c>
      <c r="F44" s="664">
        <f t="shared" si="4"/>
        <v>534135.14761904837</v>
      </c>
      <c r="G44" s="670">
        <f t="shared" si="5"/>
        <v>95339.690782318794</v>
      </c>
      <c r="H44" s="665">
        <f t="shared" si="6"/>
        <v>95339.690782318794</v>
      </c>
      <c r="I44" s="666">
        <f t="shared" si="7"/>
        <v>0</v>
      </c>
      <c r="J44" s="666"/>
      <c r="K44" s="132"/>
      <c r="L44" s="669">
        <f t="shared" si="0"/>
        <v>0</v>
      </c>
      <c r="M44" s="132"/>
      <c r="N44" s="669">
        <f t="shared" si="1"/>
        <v>0</v>
      </c>
      <c r="O44" s="669">
        <f t="shared" si="2"/>
        <v>0</v>
      </c>
      <c r="P44" s="635"/>
    </row>
    <row r="45" spans="2:16">
      <c r="B45" s="9" t="str">
        <f t="shared" si="8"/>
        <v/>
      </c>
      <c r="C45" s="662">
        <f>IF(D11="","-",+C44+1)</f>
        <v>2050</v>
      </c>
      <c r="D45" s="664">
        <f>IF(F44+SUM(E$17:E44)=D$10,F44,D$10-SUM(E$17:E44))</f>
        <v>534135.14761904837</v>
      </c>
      <c r="E45" s="69">
        <f t="shared" si="3"/>
        <v>35822.861428571428</v>
      </c>
      <c r="F45" s="664">
        <f t="shared" si="4"/>
        <v>498312.28619047697</v>
      </c>
      <c r="G45" s="670">
        <f t="shared" si="5"/>
        <v>91477.583463323972</v>
      </c>
      <c r="H45" s="665">
        <f t="shared" si="6"/>
        <v>91477.583463323972</v>
      </c>
      <c r="I45" s="666">
        <f t="shared" si="7"/>
        <v>0</v>
      </c>
      <c r="J45" s="666"/>
      <c r="K45" s="132"/>
      <c r="L45" s="669">
        <f t="shared" si="0"/>
        <v>0</v>
      </c>
      <c r="M45" s="132"/>
      <c r="N45" s="669">
        <f t="shared" si="1"/>
        <v>0</v>
      </c>
      <c r="O45" s="669">
        <f t="shared" si="2"/>
        <v>0</v>
      </c>
      <c r="P45" s="635"/>
    </row>
    <row r="46" spans="2:16">
      <c r="B46" s="9" t="str">
        <f t="shared" si="8"/>
        <v/>
      </c>
      <c r="C46" s="662">
        <f>IF(D11="","-",+C45+1)</f>
        <v>2051</v>
      </c>
      <c r="D46" s="664">
        <f>IF(F45+SUM(E$17:E45)=D$10,F45,D$10-SUM(E$17:E45))</f>
        <v>498312.28619047697</v>
      </c>
      <c r="E46" s="69">
        <f t="shared" si="3"/>
        <v>35822.861428571428</v>
      </c>
      <c r="F46" s="664">
        <f t="shared" si="4"/>
        <v>462489.42476190557</v>
      </c>
      <c r="G46" s="670">
        <f t="shared" si="5"/>
        <v>87615.47614432915</v>
      </c>
      <c r="H46" s="665">
        <f t="shared" si="6"/>
        <v>87615.47614432915</v>
      </c>
      <c r="I46" s="666">
        <f t="shared" si="7"/>
        <v>0</v>
      </c>
      <c r="J46" s="666"/>
      <c r="K46" s="132"/>
      <c r="L46" s="669">
        <f t="shared" si="0"/>
        <v>0</v>
      </c>
      <c r="M46" s="132"/>
      <c r="N46" s="669">
        <f t="shared" si="1"/>
        <v>0</v>
      </c>
      <c r="O46" s="669">
        <f t="shared" si="2"/>
        <v>0</v>
      </c>
      <c r="P46" s="635"/>
    </row>
    <row r="47" spans="2:16">
      <c r="B47" s="9" t="str">
        <f t="shared" si="8"/>
        <v/>
      </c>
      <c r="C47" s="662">
        <f>IF(D11="","-",+C46+1)</f>
        <v>2052</v>
      </c>
      <c r="D47" s="664">
        <f>IF(F46+SUM(E$17:E46)=D$10,F46,D$10-SUM(E$17:E46))</f>
        <v>462489.42476190557</v>
      </c>
      <c r="E47" s="69">
        <f t="shared" si="3"/>
        <v>35822.861428571428</v>
      </c>
      <c r="F47" s="664">
        <f t="shared" si="4"/>
        <v>426666.56333333417</v>
      </c>
      <c r="G47" s="670">
        <f t="shared" si="5"/>
        <v>83753.368825334313</v>
      </c>
      <c r="H47" s="665">
        <f t="shared" si="6"/>
        <v>83753.368825334313</v>
      </c>
      <c r="I47" s="666">
        <f t="shared" si="7"/>
        <v>0</v>
      </c>
      <c r="J47" s="666"/>
      <c r="K47" s="132"/>
      <c r="L47" s="669">
        <f t="shared" si="0"/>
        <v>0</v>
      </c>
      <c r="M47" s="132"/>
      <c r="N47" s="669">
        <f t="shared" si="1"/>
        <v>0</v>
      </c>
      <c r="O47" s="669">
        <f t="shared" si="2"/>
        <v>0</v>
      </c>
      <c r="P47" s="635"/>
    </row>
    <row r="48" spans="2:16">
      <c r="B48" s="9" t="str">
        <f t="shared" si="8"/>
        <v/>
      </c>
      <c r="C48" s="662">
        <f>IF(D11="","-",+C47+1)</f>
        <v>2053</v>
      </c>
      <c r="D48" s="664">
        <f>IF(F47+SUM(E$17:E47)=D$10,F47,D$10-SUM(E$17:E47))</f>
        <v>426666.56333333417</v>
      </c>
      <c r="E48" s="69">
        <f t="shared" si="3"/>
        <v>35822.861428571428</v>
      </c>
      <c r="F48" s="664">
        <f t="shared" si="4"/>
        <v>390843.70190476277</v>
      </c>
      <c r="G48" s="670">
        <f t="shared" si="5"/>
        <v>79891.261506339477</v>
      </c>
      <c r="H48" s="665">
        <f t="shared" si="6"/>
        <v>79891.261506339477</v>
      </c>
      <c r="I48" s="666">
        <f t="shared" si="7"/>
        <v>0</v>
      </c>
      <c r="J48" s="666"/>
      <c r="K48" s="132"/>
      <c r="L48" s="669">
        <f t="shared" si="0"/>
        <v>0</v>
      </c>
      <c r="M48" s="132"/>
      <c r="N48" s="669">
        <f t="shared" si="1"/>
        <v>0</v>
      </c>
      <c r="O48" s="669">
        <f t="shared" si="2"/>
        <v>0</v>
      </c>
      <c r="P48" s="635"/>
    </row>
    <row r="49" spans="2:16">
      <c r="B49" s="9" t="str">
        <f t="shared" si="8"/>
        <v/>
      </c>
      <c r="C49" s="662">
        <f>IF(D11="","-",+C48+1)</f>
        <v>2054</v>
      </c>
      <c r="D49" s="664">
        <f>IF(F48+SUM(E$17:E48)=D$10,F48,D$10-SUM(E$17:E48))</f>
        <v>390843.70190476277</v>
      </c>
      <c r="E49" s="69">
        <f t="shared" si="3"/>
        <v>35822.861428571428</v>
      </c>
      <c r="F49" s="664">
        <f t="shared" si="4"/>
        <v>355020.84047619137</v>
      </c>
      <c r="G49" s="670">
        <f t="shared" si="5"/>
        <v>76029.154187344655</v>
      </c>
      <c r="H49" s="665">
        <f t="shared" si="6"/>
        <v>76029.154187344655</v>
      </c>
      <c r="I49" s="666">
        <f t="shared" si="7"/>
        <v>0</v>
      </c>
      <c r="J49" s="666"/>
      <c r="K49" s="132"/>
      <c r="L49" s="669">
        <f t="shared" si="0"/>
        <v>0</v>
      </c>
      <c r="M49" s="132"/>
      <c r="N49" s="669">
        <f t="shared" si="1"/>
        <v>0</v>
      </c>
      <c r="O49" s="669">
        <f t="shared" si="2"/>
        <v>0</v>
      </c>
      <c r="P49" s="635"/>
    </row>
    <row r="50" spans="2:16">
      <c r="B50" s="9" t="str">
        <f t="shared" si="8"/>
        <v/>
      </c>
      <c r="C50" s="662">
        <f>IF(D11="","-",+C49+1)</f>
        <v>2055</v>
      </c>
      <c r="D50" s="664">
        <f>IF(F49+SUM(E$17:E49)=D$10,F49,D$10-SUM(E$17:E49))</f>
        <v>355020.84047619137</v>
      </c>
      <c r="E50" s="69">
        <f t="shared" si="3"/>
        <v>35822.861428571428</v>
      </c>
      <c r="F50" s="664">
        <f t="shared" si="4"/>
        <v>319197.97904761997</v>
      </c>
      <c r="G50" s="670">
        <f t="shared" si="5"/>
        <v>72167.046868349818</v>
      </c>
      <c r="H50" s="665">
        <f t="shared" si="6"/>
        <v>72167.046868349818</v>
      </c>
      <c r="I50" s="666">
        <f t="shared" si="7"/>
        <v>0</v>
      </c>
      <c r="J50" s="666"/>
      <c r="K50" s="132"/>
      <c r="L50" s="669">
        <f t="shared" si="0"/>
        <v>0</v>
      </c>
      <c r="M50" s="132"/>
      <c r="N50" s="669">
        <f t="shared" si="1"/>
        <v>0</v>
      </c>
      <c r="O50" s="669">
        <f t="shared" si="2"/>
        <v>0</v>
      </c>
      <c r="P50" s="635"/>
    </row>
    <row r="51" spans="2:16">
      <c r="B51" s="9" t="str">
        <f t="shared" si="8"/>
        <v/>
      </c>
      <c r="C51" s="662">
        <f>IF(D11="","-",+C50+1)</f>
        <v>2056</v>
      </c>
      <c r="D51" s="664">
        <f>IF(F50+SUM(E$17:E50)=D$10,F50,D$10-SUM(E$17:E50))</f>
        <v>319197.97904761997</v>
      </c>
      <c r="E51" s="69">
        <f t="shared" si="3"/>
        <v>35822.861428571428</v>
      </c>
      <c r="F51" s="664">
        <f t="shared" si="4"/>
        <v>283375.11761904857</v>
      </c>
      <c r="G51" s="670">
        <f t="shared" si="5"/>
        <v>68304.939549354982</v>
      </c>
      <c r="H51" s="665">
        <f t="shared" si="6"/>
        <v>68304.939549354982</v>
      </c>
      <c r="I51" s="666">
        <f t="shared" si="7"/>
        <v>0</v>
      </c>
      <c r="J51" s="666"/>
      <c r="K51" s="132"/>
      <c r="L51" s="669">
        <f t="shared" si="0"/>
        <v>0</v>
      </c>
      <c r="M51" s="132"/>
      <c r="N51" s="669">
        <f t="shared" si="1"/>
        <v>0</v>
      </c>
      <c r="O51" s="669">
        <f t="shared" si="2"/>
        <v>0</v>
      </c>
      <c r="P51" s="635"/>
    </row>
    <row r="52" spans="2:16">
      <c r="B52" s="9" t="str">
        <f t="shared" si="8"/>
        <v/>
      </c>
      <c r="C52" s="662">
        <f>IF(D11="","-",+C51+1)</f>
        <v>2057</v>
      </c>
      <c r="D52" s="664">
        <f>IF(F51+SUM(E$17:E51)=D$10,F51,D$10-SUM(E$17:E51))</f>
        <v>283375.11761904857</v>
      </c>
      <c r="E52" s="69">
        <f t="shared" si="3"/>
        <v>35822.861428571428</v>
      </c>
      <c r="F52" s="664">
        <f t="shared" si="4"/>
        <v>247552.25619047714</v>
      </c>
      <c r="G52" s="670">
        <f t="shared" si="5"/>
        <v>64442.83223036016</v>
      </c>
      <c r="H52" s="665">
        <f t="shared" si="6"/>
        <v>64442.83223036016</v>
      </c>
      <c r="I52" s="666">
        <f t="shared" si="7"/>
        <v>0</v>
      </c>
      <c r="J52" s="666"/>
      <c r="K52" s="132"/>
      <c r="L52" s="669">
        <f t="shared" si="0"/>
        <v>0</v>
      </c>
      <c r="M52" s="132"/>
      <c r="N52" s="669">
        <f t="shared" si="1"/>
        <v>0</v>
      </c>
      <c r="O52" s="669">
        <f t="shared" si="2"/>
        <v>0</v>
      </c>
      <c r="P52" s="635"/>
    </row>
    <row r="53" spans="2:16">
      <c r="B53" s="9" t="str">
        <f t="shared" si="8"/>
        <v/>
      </c>
      <c r="C53" s="662">
        <f>IF(D11="","-",+C52+1)</f>
        <v>2058</v>
      </c>
      <c r="D53" s="664">
        <f>IF(F52+SUM(E$17:E52)=D$10,F52,D$10-SUM(E$17:E52))</f>
        <v>247552.25619047714</v>
      </c>
      <c r="E53" s="69">
        <f t="shared" si="3"/>
        <v>35822.861428571428</v>
      </c>
      <c r="F53" s="664">
        <f t="shared" si="4"/>
        <v>211729.39476190571</v>
      </c>
      <c r="G53" s="670">
        <f t="shared" si="5"/>
        <v>60580.724911365316</v>
      </c>
      <c r="H53" s="665">
        <f t="shared" si="6"/>
        <v>60580.724911365316</v>
      </c>
      <c r="I53" s="666">
        <f t="shared" si="7"/>
        <v>0</v>
      </c>
      <c r="J53" s="666"/>
      <c r="K53" s="132"/>
      <c r="L53" s="669">
        <f t="shared" si="0"/>
        <v>0</v>
      </c>
      <c r="M53" s="132"/>
      <c r="N53" s="669">
        <f t="shared" si="1"/>
        <v>0</v>
      </c>
      <c r="O53" s="669">
        <f t="shared" si="2"/>
        <v>0</v>
      </c>
      <c r="P53" s="635"/>
    </row>
    <row r="54" spans="2:16">
      <c r="B54" s="9" t="str">
        <f t="shared" si="8"/>
        <v/>
      </c>
      <c r="C54" s="662">
        <f>IF(D11="","-",+C53+1)</f>
        <v>2059</v>
      </c>
      <c r="D54" s="664">
        <f>IF(F53+SUM(E$17:E53)=D$10,F53,D$10-SUM(E$17:E53))</f>
        <v>211729.39476190571</v>
      </c>
      <c r="E54" s="69">
        <f t="shared" si="3"/>
        <v>35822.861428571428</v>
      </c>
      <c r="F54" s="664">
        <f t="shared" si="4"/>
        <v>175906.53333333429</v>
      </c>
      <c r="G54" s="670">
        <f t="shared" si="5"/>
        <v>56718.617592370487</v>
      </c>
      <c r="H54" s="665">
        <f t="shared" si="6"/>
        <v>56718.617592370487</v>
      </c>
      <c r="I54" s="666">
        <f t="shared" si="7"/>
        <v>0</v>
      </c>
      <c r="J54" s="666"/>
      <c r="K54" s="132"/>
      <c r="L54" s="669">
        <f t="shared" si="0"/>
        <v>0</v>
      </c>
      <c r="M54" s="132"/>
      <c r="N54" s="669">
        <f t="shared" si="1"/>
        <v>0</v>
      </c>
      <c r="O54" s="669">
        <f t="shared" si="2"/>
        <v>0</v>
      </c>
      <c r="P54" s="635"/>
    </row>
    <row r="55" spans="2:16">
      <c r="B55" s="9" t="str">
        <f t="shared" si="8"/>
        <v/>
      </c>
      <c r="C55" s="662">
        <f>IF(D11="","-",+C54+1)</f>
        <v>2060</v>
      </c>
      <c r="D55" s="664">
        <f>IF(F54+SUM(E$17:E54)=D$10,F54,D$10-SUM(E$17:E54))</f>
        <v>175906.53333333429</v>
      </c>
      <c r="E55" s="69">
        <f t="shared" si="3"/>
        <v>35822.861428571428</v>
      </c>
      <c r="F55" s="664">
        <f t="shared" si="4"/>
        <v>140083.67190476286</v>
      </c>
      <c r="G55" s="670">
        <f t="shared" si="5"/>
        <v>52856.51027337565</v>
      </c>
      <c r="H55" s="665">
        <f t="shared" si="6"/>
        <v>52856.51027337565</v>
      </c>
      <c r="I55" s="666">
        <f t="shared" si="7"/>
        <v>0</v>
      </c>
      <c r="J55" s="666"/>
      <c r="K55" s="132"/>
      <c r="L55" s="669">
        <f t="shared" si="0"/>
        <v>0</v>
      </c>
      <c r="M55" s="132"/>
      <c r="N55" s="669">
        <f t="shared" si="1"/>
        <v>0</v>
      </c>
      <c r="O55" s="669">
        <f t="shared" si="2"/>
        <v>0</v>
      </c>
      <c r="P55" s="635"/>
    </row>
    <row r="56" spans="2:16">
      <c r="B56" s="9" t="str">
        <f t="shared" si="8"/>
        <v/>
      </c>
      <c r="C56" s="662">
        <f>IF(D11="","-",+C55+1)</f>
        <v>2061</v>
      </c>
      <c r="D56" s="664">
        <f>IF(F55+SUM(E$17:E55)=D$10,F55,D$10-SUM(E$17:E55))</f>
        <v>140083.67190476286</v>
      </c>
      <c r="E56" s="69">
        <f t="shared" si="3"/>
        <v>35822.861428571428</v>
      </c>
      <c r="F56" s="664">
        <f t="shared" si="4"/>
        <v>104260.81047619143</v>
      </c>
      <c r="G56" s="670">
        <f t="shared" si="5"/>
        <v>48994.402954380814</v>
      </c>
      <c r="H56" s="665">
        <f t="shared" si="6"/>
        <v>48994.402954380814</v>
      </c>
      <c r="I56" s="666">
        <f t="shared" si="7"/>
        <v>0</v>
      </c>
      <c r="J56" s="666"/>
      <c r="K56" s="132"/>
      <c r="L56" s="669">
        <f t="shared" si="0"/>
        <v>0</v>
      </c>
      <c r="M56" s="132"/>
      <c r="N56" s="669">
        <f t="shared" si="1"/>
        <v>0</v>
      </c>
      <c r="O56" s="669">
        <f t="shared" si="2"/>
        <v>0</v>
      </c>
      <c r="P56" s="635"/>
    </row>
    <row r="57" spans="2:16">
      <c r="B57" s="9" t="str">
        <f t="shared" si="8"/>
        <v/>
      </c>
      <c r="C57" s="662">
        <f>IF(D11="","-",+C56+1)</f>
        <v>2062</v>
      </c>
      <c r="D57" s="664">
        <f>IF(F56+SUM(E$17:E56)=D$10,F56,D$10-SUM(E$17:E56))</f>
        <v>104260.81047619143</v>
      </c>
      <c r="E57" s="69">
        <f t="shared" si="3"/>
        <v>35822.861428571428</v>
      </c>
      <c r="F57" s="664">
        <f t="shared" si="4"/>
        <v>68437.949047620001</v>
      </c>
      <c r="G57" s="670">
        <f t="shared" si="5"/>
        <v>45132.295635385977</v>
      </c>
      <c r="H57" s="665">
        <f t="shared" si="6"/>
        <v>45132.295635385977</v>
      </c>
      <c r="I57" s="666">
        <f t="shared" si="7"/>
        <v>0</v>
      </c>
      <c r="J57" s="666"/>
      <c r="K57" s="132"/>
      <c r="L57" s="669">
        <f t="shared" si="0"/>
        <v>0</v>
      </c>
      <c r="M57" s="132"/>
      <c r="N57" s="669">
        <f t="shared" si="1"/>
        <v>0</v>
      </c>
      <c r="O57" s="669">
        <f t="shared" si="2"/>
        <v>0</v>
      </c>
      <c r="P57" s="635"/>
    </row>
    <row r="58" spans="2:16">
      <c r="B58" s="9" t="str">
        <f t="shared" si="8"/>
        <v/>
      </c>
      <c r="C58" s="662">
        <f>IF(D11="","-",+C57+1)</f>
        <v>2063</v>
      </c>
      <c r="D58" s="664">
        <f>IF(F57+SUM(E$17:E57)=D$10,F57,D$10-SUM(E$17:E57))</f>
        <v>68437.949047620001</v>
      </c>
      <c r="E58" s="69">
        <f t="shared" si="3"/>
        <v>35822.861428571428</v>
      </c>
      <c r="F58" s="664">
        <f t="shared" si="4"/>
        <v>32615.087619048572</v>
      </c>
      <c r="G58" s="670">
        <f t="shared" si="5"/>
        <v>41270.188316391148</v>
      </c>
      <c r="H58" s="665">
        <f t="shared" si="6"/>
        <v>41270.188316391148</v>
      </c>
      <c r="I58" s="666">
        <f t="shared" si="7"/>
        <v>0</v>
      </c>
      <c r="J58" s="666"/>
      <c r="K58" s="132"/>
      <c r="L58" s="669">
        <f t="shared" si="0"/>
        <v>0</v>
      </c>
      <c r="M58" s="132"/>
      <c r="N58" s="669">
        <f t="shared" si="1"/>
        <v>0</v>
      </c>
      <c r="O58" s="669">
        <f t="shared" si="2"/>
        <v>0</v>
      </c>
      <c r="P58" s="635"/>
    </row>
    <row r="59" spans="2:16">
      <c r="B59" s="9" t="str">
        <f t="shared" si="8"/>
        <v/>
      </c>
      <c r="C59" s="662">
        <f>IF(D11="","-",+C58+1)</f>
        <v>2064</v>
      </c>
      <c r="D59" s="664">
        <f>IF(F58+SUM(E$17:E58)=D$10,F58,D$10-SUM(E$17:E58))</f>
        <v>32615.087619048572</v>
      </c>
      <c r="E59" s="69">
        <f t="shared" si="3"/>
        <v>32615.087619048572</v>
      </c>
      <c r="F59" s="664">
        <f t="shared" si="4"/>
        <v>0</v>
      </c>
      <c r="G59" s="670">
        <f t="shared" si="5"/>
        <v>34373.224233209723</v>
      </c>
      <c r="H59" s="665">
        <f t="shared" si="6"/>
        <v>34373.224233209723</v>
      </c>
      <c r="I59" s="666">
        <f t="shared" si="7"/>
        <v>0</v>
      </c>
      <c r="J59" s="666"/>
      <c r="K59" s="132"/>
      <c r="L59" s="669">
        <f t="shared" si="0"/>
        <v>0</v>
      </c>
      <c r="M59" s="132"/>
      <c r="N59" s="669">
        <f t="shared" si="1"/>
        <v>0</v>
      </c>
      <c r="O59" s="669">
        <f t="shared" si="2"/>
        <v>0</v>
      </c>
      <c r="P59" s="635"/>
    </row>
    <row r="60" spans="2:16">
      <c r="B60" s="9" t="str">
        <f t="shared" si="8"/>
        <v/>
      </c>
      <c r="C60" s="662">
        <f>IF(D11="","-",+C59+1)</f>
        <v>2065</v>
      </c>
      <c r="D60" s="664">
        <f>IF(F59+SUM(E$17:E59)=D$10,F59,D$10-SUM(E$17:E59))</f>
        <v>0</v>
      </c>
      <c r="E60" s="69">
        <f t="shared" si="3"/>
        <v>0</v>
      </c>
      <c r="F60" s="664">
        <f t="shared" si="4"/>
        <v>0</v>
      </c>
      <c r="G60" s="670">
        <f t="shared" si="5"/>
        <v>0</v>
      </c>
      <c r="H60" s="665">
        <f t="shared" si="6"/>
        <v>0</v>
      </c>
      <c r="I60" s="666">
        <f t="shared" si="7"/>
        <v>0</v>
      </c>
      <c r="J60" s="666"/>
      <c r="K60" s="132"/>
      <c r="L60" s="669">
        <f t="shared" si="0"/>
        <v>0</v>
      </c>
      <c r="M60" s="132"/>
      <c r="N60" s="669">
        <f t="shared" si="1"/>
        <v>0</v>
      </c>
      <c r="O60" s="669">
        <f t="shared" si="2"/>
        <v>0</v>
      </c>
      <c r="P60" s="635"/>
    </row>
    <row r="61" spans="2:16">
      <c r="B61" s="9" t="str">
        <f t="shared" si="8"/>
        <v/>
      </c>
      <c r="C61" s="662">
        <f>IF(D11="","-",+C60+1)</f>
        <v>2066</v>
      </c>
      <c r="D61" s="664">
        <f>IF(F60+SUM(E$17:E60)=D$10,F60,D$10-SUM(E$17:E60))</f>
        <v>0</v>
      </c>
      <c r="E61" s="69">
        <f t="shared" si="3"/>
        <v>0</v>
      </c>
      <c r="F61" s="664">
        <f t="shared" si="4"/>
        <v>0</v>
      </c>
      <c r="G61" s="670">
        <f t="shared" si="5"/>
        <v>0</v>
      </c>
      <c r="H61" s="665">
        <f t="shared" si="6"/>
        <v>0</v>
      </c>
      <c r="I61" s="666">
        <f t="shared" si="7"/>
        <v>0</v>
      </c>
      <c r="J61" s="666"/>
      <c r="K61" s="132"/>
      <c r="L61" s="669">
        <f t="shared" si="0"/>
        <v>0</v>
      </c>
      <c r="M61" s="132"/>
      <c r="N61" s="669">
        <f t="shared" si="1"/>
        <v>0</v>
      </c>
      <c r="O61" s="669">
        <f t="shared" si="2"/>
        <v>0</v>
      </c>
      <c r="P61" s="635"/>
    </row>
    <row r="62" spans="2:16">
      <c r="B62" s="9" t="str">
        <f t="shared" si="8"/>
        <v/>
      </c>
      <c r="C62" s="662">
        <f>IF(D11="","-",+C61+1)</f>
        <v>2067</v>
      </c>
      <c r="D62" s="664">
        <f>IF(F61+SUM(E$17:E61)=D$10,F61,D$10-SUM(E$17:E61))</f>
        <v>0</v>
      </c>
      <c r="E62" s="69">
        <f t="shared" si="3"/>
        <v>0</v>
      </c>
      <c r="F62" s="664">
        <f t="shared" si="4"/>
        <v>0</v>
      </c>
      <c r="G62" s="670">
        <f t="shared" si="5"/>
        <v>0</v>
      </c>
      <c r="H62" s="665">
        <f t="shared" si="6"/>
        <v>0</v>
      </c>
      <c r="I62" s="666">
        <f t="shared" si="7"/>
        <v>0</v>
      </c>
      <c r="J62" s="666"/>
      <c r="K62" s="132"/>
      <c r="L62" s="669">
        <f t="shared" si="0"/>
        <v>0</v>
      </c>
      <c r="M62" s="132"/>
      <c r="N62" s="669">
        <f t="shared" si="1"/>
        <v>0</v>
      </c>
      <c r="O62" s="669">
        <f t="shared" si="2"/>
        <v>0</v>
      </c>
      <c r="P62" s="635"/>
    </row>
    <row r="63" spans="2:16">
      <c r="B63" s="9" t="str">
        <f t="shared" si="8"/>
        <v/>
      </c>
      <c r="C63" s="662">
        <f>IF(D11="","-",+C62+1)</f>
        <v>2068</v>
      </c>
      <c r="D63" s="664">
        <f>IF(F62+SUM(E$17:E62)=D$10,F62,D$10-SUM(E$17:E62))</f>
        <v>0</v>
      </c>
      <c r="E63" s="69">
        <f t="shared" si="3"/>
        <v>0</v>
      </c>
      <c r="F63" s="664">
        <f t="shared" si="4"/>
        <v>0</v>
      </c>
      <c r="G63" s="670">
        <f t="shared" si="5"/>
        <v>0</v>
      </c>
      <c r="H63" s="665">
        <f t="shared" si="6"/>
        <v>0</v>
      </c>
      <c r="I63" s="666">
        <f t="shared" si="7"/>
        <v>0</v>
      </c>
      <c r="J63" s="666"/>
      <c r="K63" s="132"/>
      <c r="L63" s="669">
        <f t="shared" si="0"/>
        <v>0</v>
      </c>
      <c r="M63" s="132"/>
      <c r="N63" s="669">
        <f t="shared" si="1"/>
        <v>0</v>
      </c>
      <c r="O63" s="669">
        <f t="shared" si="2"/>
        <v>0</v>
      </c>
      <c r="P63" s="635"/>
    </row>
    <row r="64" spans="2:16">
      <c r="B64" s="9" t="str">
        <f t="shared" si="8"/>
        <v/>
      </c>
      <c r="C64" s="662">
        <f>IF(D11="","-",+C63+1)</f>
        <v>2069</v>
      </c>
      <c r="D64" s="664">
        <f>IF(F63+SUM(E$17:E63)=D$10,F63,D$10-SUM(E$17:E63))</f>
        <v>0</v>
      </c>
      <c r="E64" s="69">
        <f t="shared" si="3"/>
        <v>0</v>
      </c>
      <c r="F64" s="664">
        <f t="shared" si="4"/>
        <v>0</v>
      </c>
      <c r="G64" s="670">
        <f t="shared" si="5"/>
        <v>0</v>
      </c>
      <c r="H64" s="665">
        <f t="shared" si="6"/>
        <v>0</v>
      </c>
      <c r="I64" s="666">
        <f t="shared" si="7"/>
        <v>0</v>
      </c>
      <c r="J64" s="666"/>
      <c r="K64" s="132"/>
      <c r="L64" s="669">
        <f t="shared" si="0"/>
        <v>0</v>
      </c>
      <c r="M64" s="132"/>
      <c r="N64" s="669">
        <f t="shared" si="1"/>
        <v>0</v>
      </c>
      <c r="O64" s="669">
        <f t="shared" si="2"/>
        <v>0</v>
      </c>
      <c r="P64" s="635"/>
    </row>
    <row r="65" spans="2:16">
      <c r="B65" s="9" t="str">
        <f t="shared" si="8"/>
        <v/>
      </c>
      <c r="C65" s="662">
        <f>IF(D11="","-",+C64+1)</f>
        <v>2070</v>
      </c>
      <c r="D65" s="664">
        <f>IF(F64+SUM(E$17:E64)=D$10,F64,D$10-SUM(E$17:E64))</f>
        <v>0</v>
      </c>
      <c r="E65" s="69">
        <f t="shared" si="3"/>
        <v>0</v>
      </c>
      <c r="F65" s="664">
        <f t="shared" si="4"/>
        <v>0</v>
      </c>
      <c r="G65" s="670">
        <f t="shared" si="5"/>
        <v>0</v>
      </c>
      <c r="H65" s="665">
        <f t="shared" si="6"/>
        <v>0</v>
      </c>
      <c r="I65" s="666">
        <f t="shared" si="7"/>
        <v>0</v>
      </c>
      <c r="J65" s="666"/>
      <c r="K65" s="132"/>
      <c r="L65" s="669">
        <f t="shared" si="0"/>
        <v>0</v>
      </c>
      <c r="M65" s="132"/>
      <c r="N65" s="669">
        <f t="shared" si="1"/>
        <v>0</v>
      </c>
      <c r="O65" s="669">
        <f t="shared" si="2"/>
        <v>0</v>
      </c>
      <c r="P65" s="635"/>
    </row>
    <row r="66" spans="2:16">
      <c r="B66" s="9" t="str">
        <f t="shared" si="8"/>
        <v/>
      </c>
      <c r="C66" s="662">
        <f>IF(D11="","-",+C65+1)</f>
        <v>2071</v>
      </c>
      <c r="D66" s="664">
        <f>IF(F65+SUM(E$17:E65)=D$10,F65,D$10-SUM(E$17:E65))</f>
        <v>0</v>
      </c>
      <c r="E66" s="69">
        <f t="shared" si="3"/>
        <v>0</v>
      </c>
      <c r="F66" s="664">
        <f t="shared" si="4"/>
        <v>0</v>
      </c>
      <c r="G66" s="670">
        <f t="shared" si="5"/>
        <v>0</v>
      </c>
      <c r="H66" s="665">
        <f t="shared" si="6"/>
        <v>0</v>
      </c>
      <c r="I66" s="666">
        <f t="shared" si="7"/>
        <v>0</v>
      </c>
      <c r="J66" s="666"/>
      <c r="K66" s="132"/>
      <c r="L66" s="669">
        <f t="shared" si="0"/>
        <v>0</v>
      </c>
      <c r="M66" s="132"/>
      <c r="N66" s="669">
        <f t="shared" si="1"/>
        <v>0</v>
      </c>
      <c r="O66" s="669">
        <f t="shared" si="2"/>
        <v>0</v>
      </c>
      <c r="P66" s="635"/>
    </row>
    <row r="67" spans="2:16">
      <c r="B67" s="9" t="str">
        <f t="shared" si="8"/>
        <v/>
      </c>
      <c r="C67" s="662">
        <f>IF(D11="","-",+C66+1)</f>
        <v>2072</v>
      </c>
      <c r="D67" s="664">
        <f>IF(F66+SUM(E$17:E66)=D$10,F66,D$10-SUM(E$17:E66))</f>
        <v>0</v>
      </c>
      <c r="E67" s="69">
        <f t="shared" si="3"/>
        <v>0</v>
      </c>
      <c r="F67" s="664">
        <f t="shared" si="4"/>
        <v>0</v>
      </c>
      <c r="G67" s="670">
        <f t="shared" si="5"/>
        <v>0</v>
      </c>
      <c r="H67" s="665">
        <f t="shared" si="6"/>
        <v>0</v>
      </c>
      <c r="I67" s="666">
        <f t="shared" si="7"/>
        <v>0</v>
      </c>
      <c r="J67" s="666"/>
      <c r="K67" s="132"/>
      <c r="L67" s="669">
        <f t="shared" si="0"/>
        <v>0</v>
      </c>
      <c r="M67" s="132"/>
      <c r="N67" s="669">
        <f t="shared" si="1"/>
        <v>0</v>
      </c>
      <c r="O67" s="669">
        <f t="shared" si="2"/>
        <v>0</v>
      </c>
      <c r="P67" s="635"/>
    </row>
    <row r="68" spans="2:16">
      <c r="B68" s="9" t="str">
        <f t="shared" si="8"/>
        <v/>
      </c>
      <c r="C68" s="662">
        <f>IF(D11="","-",+C67+1)</f>
        <v>2073</v>
      </c>
      <c r="D68" s="664">
        <f>IF(F67+SUM(E$17:E67)=D$10,F67,D$10-SUM(E$17:E67))</f>
        <v>0</v>
      </c>
      <c r="E68" s="69">
        <f t="shared" si="3"/>
        <v>0</v>
      </c>
      <c r="F68" s="664">
        <f t="shared" si="4"/>
        <v>0</v>
      </c>
      <c r="G68" s="670">
        <f t="shared" si="5"/>
        <v>0</v>
      </c>
      <c r="H68" s="665">
        <f t="shared" si="6"/>
        <v>0</v>
      </c>
      <c r="I68" s="666">
        <f t="shared" si="7"/>
        <v>0</v>
      </c>
      <c r="J68" s="666"/>
      <c r="K68" s="132"/>
      <c r="L68" s="669">
        <f t="shared" si="0"/>
        <v>0</v>
      </c>
      <c r="M68" s="132"/>
      <c r="N68" s="669">
        <f t="shared" si="1"/>
        <v>0</v>
      </c>
      <c r="O68" s="669">
        <f t="shared" si="2"/>
        <v>0</v>
      </c>
      <c r="P68" s="635"/>
    </row>
    <row r="69" spans="2:16">
      <c r="B69" s="9" t="str">
        <f t="shared" si="8"/>
        <v/>
      </c>
      <c r="C69" s="662">
        <f>IF(D11="","-",+C68+1)</f>
        <v>2074</v>
      </c>
      <c r="D69" s="664">
        <f>IF(F68+SUM(E$17:E68)=D$10,F68,D$10-SUM(E$17:E68))</f>
        <v>0</v>
      </c>
      <c r="E69" s="69">
        <f t="shared" si="3"/>
        <v>0</v>
      </c>
      <c r="F69" s="664">
        <f t="shared" si="4"/>
        <v>0</v>
      </c>
      <c r="G69" s="670">
        <f t="shared" si="5"/>
        <v>0</v>
      </c>
      <c r="H69" s="665">
        <f t="shared" si="6"/>
        <v>0</v>
      </c>
      <c r="I69" s="666">
        <f t="shared" si="7"/>
        <v>0</v>
      </c>
      <c r="J69" s="666"/>
      <c r="K69" s="132"/>
      <c r="L69" s="669">
        <f t="shared" si="0"/>
        <v>0</v>
      </c>
      <c r="M69" s="132"/>
      <c r="N69" s="669">
        <f t="shared" si="1"/>
        <v>0</v>
      </c>
      <c r="O69" s="669">
        <f t="shared" si="2"/>
        <v>0</v>
      </c>
      <c r="P69" s="635"/>
    </row>
    <row r="70" spans="2:16">
      <c r="B70" s="9" t="str">
        <f t="shared" si="8"/>
        <v/>
      </c>
      <c r="C70" s="662">
        <f>IF(D11="","-",+C69+1)</f>
        <v>2075</v>
      </c>
      <c r="D70" s="664">
        <f>IF(F69+SUM(E$17:E69)=D$10,F69,D$10-SUM(E$17:E69))</f>
        <v>0</v>
      </c>
      <c r="E70" s="69">
        <f t="shared" si="3"/>
        <v>0</v>
      </c>
      <c r="F70" s="664">
        <f t="shared" si="4"/>
        <v>0</v>
      </c>
      <c r="G70" s="670">
        <f t="shared" si="5"/>
        <v>0</v>
      </c>
      <c r="H70" s="665">
        <f t="shared" si="6"/>
        <v>0</v>
      </c>
      <c r="I70" s="666">
        <f t="shared" si="7"/>
        <v>0</v>
      </c>
      <c r="J70" s="666"/>
      <c r="K70" s="132"/>
      <c r="L70" s="669">
        <f t="shared" si="0"/>
        <v>0</v>
      </c>
      <c r="M70" s="132"/>
      <c r="N70" s="669">
        <f t="shared" si="1"/>
        <v>0</v>
      </c>
      <c r="O70" s="669">
        <f t="shared" si="2"/>
        <v>0</v>
      </c>
      <c r="P70" s="635"/>
    </row>
    <row r="71" spans="2:16">
      <c r="B71" s="9" t="str">
        <f t="shared" si="8"/>
        <v/>
      </c>
      <c r="C71" s="662">
        <f>IF(D11="","-",+C70+1)</f>
        <v>2076</v>
      </c>
      <c r="D71" s="664">
        <f>IF(F70+SUM(E$17:E70)=D$10,F70,D$10-SUM(E$17:E70))</f>
        <v>0</v>
      </c>
      <c r="E71" s="69">
        <f t="shared" si="3"/>
        <v>0</v>
      </c>
      <c r="F71" s="664">
        <f t="shared" si="4"/>
        <v>0</v>
      </c>
      <c r="G71" s="670">
        <f t="shared" si="5"/>
        <v>0</v>
      </c>
      <c r="H71" s="665">
        <f t="shared" si="6"/>
        <v>0</v>
      </c>
      <c r="I71" s="666">
        <f t="shared" si="7"/>
        <v>0</v>
      </c>
      <c r="J71" s="666"/>
      <c r="K71" s="132"/>
      <c r="L71" s="669">
        <f t="shared" si="0"/>
        <v>0</v>
      </c>
      <c r="M71" s="132"/>
      <c r="N71" s="669">
        <f t="shared" si="1"/>
        <v>0</v>
      </c>
      <c r="O71" s="669">
        <f t="shared" si="2"/>
        <v>0</v>
      </c>
      <c r="P71" s="635"/>
    </row>
    <row r="72" spans="2:16" ht="13.5" thickBot="1">
      <c r="B72" s="9" t="str">
        <f t="shared" si="8"/>
        <v/>
      </c>
      <c r="C72" s="671">
        <f>IF(D11="","-",+C71+1)</f>
        <v>2077</v>
      </c>
      <c r="D72" s="672">
        <f>IF(F71+SUM(E$17:E71)=D$10,F71,D$10-SUM(E$17:E71))</f>
        <v>0</v>
      </c>
      <c r="E72" s="491">
        <f>IF(+I$14&lt;F71,I$14,D72)</f>
        <v>0</v>
      </c>
      <c r="F72" s="672">
        <f>+D72-E72</f>
        <v>0</v>
      </c>
      <c r="G72" s="673">
        <f>(D72+F72)/2*I$12+E72</f>
        <v>0</v>
      </c>
      <c r="H72" s="647">
        <f>+(D72+F72)/2*I$13+E72</f>
        <v>0</v>
      </c>
      <c r="I72" s="674">
        <f>H72-G72</f>
        <v>0</v>
      </c>
      <c r="J72" s="666"/>
      <c r="K72" s="133"/>
      <c r="L72" s="675">
        <f t="shared" si="0"/>
        <v>0</v>
      </c>
      <c r="M72" s="133"/>
      <c r="N72" s="675">
        <f t="shared" si="1"/>
        <v>0</v>
      </c>
      <c r="O72" s="675">
        <f t="shared" si="2"/>
        <v>0</v>
      </c>
      <c r="P72" s="635"/>
    </row>
    <row r="73" spans="2:16">
      <c r="C73" s="663" t="s">
        <v>77</v>
      </c>
      <c r="D73" s="642"/>
      <c r="E73" s="642">
        <f>SUM(E17:E72)</f>
        <v>1504560.18</v>
      </c>
      <c r="F73" s="642"/>
      <c r="G73" s="642">
        <f>SUM(G17:G72)</f>
        <v>4983563.9943947019</v>
      </c>
      <c r="H73" s="642">
        <f>SUM(H17:H72)</f>
        <v>4983563.9943947019</v>
      </c>
      <c r="I73" s="642">
        <f>SUM(I17:I72)</f>
        <v>0</v>
      </c>
      <c r="J73" s="642"/>
      <c r="K73" s="642"/>
      <c r="L73" s="642"/>
      <c r="M73" s="642"/>
      <c r="N73" s="642"/>
      <c r="O73" s="635"/>
      <c r="P73" s="635"/>
    </row>
    <row r="74" spans="2:16">
      <c r="D74" s="636"/>
      <c r="E74" s="635"/>
      <c r="F74" s="635"/>
      <c r="G74" s="635"/>
      <c r="H74" s="638"/>
      <c r="I74" s="638"/>
      <c r="J74" s="642"/>
      <c r="K74" s="638"/>
      <c r="L74" s="638"/>
      <c r="M74" s="638"/>
      <c r="N74" s="638"/>
      <c r="O74" s="635"/>
      <c r="P74" s="635"/>
    </row>
    <row r="75" spans="2:16">
      <c r="C75" s="648" t="s">
        <v>106</v>
      </c>
      <c r="D75" s="636"/>
      <c r="E75" s="635"/>
      <c r="F75" s="635"/>
      <c r="G75" s="635"/>
      <c r="H75" s="638"/>
      <c r="I75" s="638"/>
      <c r="J75" s="642"/>
      <c r="K75" s="638"/>
      <c r="L75" s="638"/>
      <c r="M75" s="638"/>
      <c r="N75" s="638"/>
      <c r="O75" s="635"/>
      <c r="P75" s="635"/>
    </row>
    <row r="76" spans="2:16">
      <c r="C76" s="645" t="s">
        <v>78</v>
      </c>
      <c r="D76" s="636"/>
      <c r="E76" s="635"/>
      <c r="F76" s="635"/>
      <c r="G76" s="635"/>
      <c r="H76" s="638"/>
      <c r="I76" s="638"/>
      <c r="J76" s="642"/>
      <c r="K76" s="638"/>
      <c r="L76" s="638"/>
      <c r="M76" s="638"/>
      <c r="N76" s="638"/>
      <c r="O76" s="635"/>
      <c r="P76" s="635"/>
    </row>
    <row r="77" spans="2:16">
      <c r="C77" s="645" t="s">
        <v>79</v>
      </c>
      <c r="D77" s="663"/>
      <c r="E77" s="663"/>
      <c r="F77" s="663"/>
      <c r="G77" s="642"/>
      <c r="H77" s="642"/>
      <c r="I77" s="676"/>
      <c r="J77" s="676"/>
      <c r="K77" s="676"/>
      <c r="L77" s="676"/>
      <c r="M77" s="676"/>
      <c r="N77" s="676"/>
      <c r="O77" s="635"/>
      <c r="P77" s="635"/>
    </row>
    <row r="78" spans="2:16">
      <c r="C78" s="645"/>
      <c r="D78" s="663"/>
      <c r="E78" s="663"/>
      <c r="F78" s="663"/>
      <c r="G78" s="642"/>
      <c r="H78" s="642"/>
      <c r="I78" s="676"/>
      <c r="J78" s="676"/>
      <c r="K78" s="676"/>
      <c r="L78" s="676"/>
      <c r="M78" s="676"/>
      <c r="N78" s="676"/>
      <c r="O78" s="635"/>
      <c r="P78" s="635"/>
    </row>
    <row r="79" spans="2:16">
      <c r="B79" s="635"/>
      <c r="C79" s="635"/>
      <c r="D79" s="636"/>
      <c r="E79" s="635"/>
      <c r="F79" s="663"/>
      <c r="G79" s="635"/>
      <c r="H79" s="638"/>
      <c r="I79" s="635"/>
      <c r="J79" s="635"/>
      <c r="K79" s="635"/>
      <c r="L79" s="635"/>
      <c r="M79" s="635"/>
      <c r="N79" s="635"/>
      <c r="O79" s="635"/>
      <c r="P79" s="635"/>
    </row>
    <row r="80" spans="2:16" ht="18">
      <c r="B80" s="635"/>
      <c r="C80" s="677"/>
      <c r="D80" s="636"/>
      <c r="E80" s="635"/>
      <c r="F80" s="663"/>
      <c r="G80" s="635"/>
      <c r="H80" s="638"/>
      <c r="I80" s="635"/>
      <c r="J80" s="635"/>
      <c r="K80" s="635"/>
      <c r="L80" s="635"/>
      <c r="M80" s="635"/>
      <c r="N80" s="635"/>
      <c r="P80" s="111" t="s">
        <v>144</v>
      </c>
    </row>
    <row r="81" spans="1:16">
      <c r="B81" s="635"/>
      <c r="C81" s="635"/>
      <c r="D81" s="636"/>
      <c r="E81" s="635"/>
      <c r="F81" s="663"/>
      <c r="G81" s="635"/>
      <c r="H81" s="638"/>
      <c r="I81" s="635"/>
      <c r="J81" s="635"/>
      <c r="K81" s="635"/>
      <c r="L81" s="635"/>
      <c r="M81" s="635"/>
      <c r="N81" s="635"/>
      <c r="O81" s="635"/>
      <c r="P81" s="635"/>
    </row>
    <row r="82" spans="1:16">
      <c r="B82" s="635"/>
      <c r="C82" s="635"/>
      <c r="D82" s="636"/>
      <c r="E82" s="635"/>
      <c r="F82" s="663"/>
      <c r="G82" s="635"/>
      <c r="H82" s="638"/>
      <c r="I82" s="635"/>
      <c r="J82" s="635"/>
      <c r="K82" s="635"/>
      <c r="L82" s="635"/>
      <c r="M82" s="635"/>
      <c r="N82" s="635"/>
      <c r="O82" s="635"/>
      <c r="P82" s="635"/>
    </row>
    <row r="83" spans="1:16" ht="20.25">
      <c r="A83" s="110" t="s">
        <v>146</v>
      </c>
      <c r="B83" s="635"/>
      <c r="C83" s="635"/>
      <c r="D83" s="636"/>
      <c r="E83" s="635"/>
      <c r="F83" s="637"/>
      <c r="G83" s="637"/>
      <c r="H83" s="635"/>
      <c r="I83" s="638"/>
      <c r="L83" s="19"/>
      <c r="M83" s="19"/>
      <c r="P83" s="19" t="str">
        <f>P1</f>
        <v>PSO Project 30 of 31</v>
      </c>
    </row>
    <row r="84" spans="1:16" ht="18">
      <c r="B84" s="635"/>
      <c r="C84" s="635"/>
      <c r="D84" s="636"/>
      <c r="E84" s="635"/>
      <c r="F84" s="635"/>
      <c r="G84" s="635"/>
      <c r="H84" s="635"/>
      <c r="I84" s="638"/>
      <c r="J84" s="635"/>
      <c r="K84" s="635"/>
      <c r="L84" s="635"/>
      <c r="M84" s="635"/>
      <c r="P84" s="117" t="s">
        <v>151</v>
      </c>
    </row>
    <row r="85" spans="1:16" ht="18.75" thickBot="1">
      <c r="B85" s="640" t="s">
        <v>42</v>
      </c>
      <c r="C85" s="678" t="s">
        <v>91</v>
      </c>
      <c r="D85" s="636"/>
      <c r="E85" s="635"/>
      <c r="F85" s="635"/>
      <c r="G85" s="635"/>
      <c r="H85" s="635"/>
      <c r="I85" s="638"/>
      <c r="J85" s="638"/>
      <c r="K85" s="642"/>
      <c r="L85" s="638"/>
      <c r="M85" s="638"/>
      <c r="N85" s="638"/>
      <c r="O85" s="642"/>
      <c r="P85" s="635"/>
    </row>
    <row r="86" spans="1:16" ht="15.75" thickBot="1">
      <c r="C86" s="643"/>
      <c r="D86" s="636"/>
      <c r="E86" s="635"/>
      <c r="F86" s="635"/>
      <c r="G86" s="635"/>
      <c r="H86" s="635"/>
      <c r="I86" s="638"/>
      <c r="J86" s="638"/>
      <c r="K86" s="642"/>
      <c r="L86" s="679">
        <f>+J92</f>
        <v>2022</v>
      </c>
      <c r="M86" s="680" t="s">
        <v>8</v>
      </c>
      <c r="N86" s="681" t="s">
        <v>153</v>
      </c>
      <c r="O86" s="682" t="s">
        <v>10</v>
      </c>
      <c r="P86" s="635"/>
    </row>
    <row r="87" spans="1:16" ht="15">
      <c r="C87" s="107" t="s">
        <v>44</v>
      </c>
      <c r="D87" s="636"/>
      <c r="E87" s="635"/>
      <c r="F87" s="635"/>
      <c r="G87" s="635"/>
      <c r="H87" s="421"/>
      <c r="I87" s="635" t="s">
        <v>45</v>
      </c>
      <c r="J87" s="635"/>
      <c r="K87" s="122"/>
      <c r="L87" s="683" t="s">
        <v>154</v>
      </c>
      <c r="M87" s="508">
        <f>IF(J92&lt;D11,0,VLOOKUP(J92,C17:O72,9))</f>
        <v>90185.047613691771</v>
      </c>
      <c r="N87" s="508">
        <f>IF(J92&lt;D11,0,VLOOKUP(J92,C17:O72,11))</f>
        <v>90185.047613691771</v>
      </c>
      <c r="O87" s="684">
        <f>+N87-M87</f>
        <v>0</v>
      </c>
      <c r="P87" s="635"/>
    </row>
    <row r="88" spans="1:16" ht="15.75">
      <c r="C88" s="8"/>
      <c r="D88" s="636"/>
      <c r="E88" s="635"/>
      <c r="F88" s="635"/>
      <c r="G88" s="635"/>
      <c r="H88" s="635"/>
      <c r="I88" s="426"/>
      <c r="J88" s="426"/>
      <c r="K88" s="510"/>
      <c r="L88" s="685" t="s">
        <v>155</v>
      </c>
      <c r="M88" s="512">
        <f>IF(J92&lt;D11,0,VLOOKUP(J92,C99:P154,6))</f>
        <v>81104.253698891524</v>
      </c>
      <c r="N88" s="512">
        <f>IF(J92&lt;D11,0,VLOOKUP(J92,C99:P154,7))</f>
        <v>81104.253698891524</v>
      </c>
      <c r="O88" s="686">
        <f>+N88-M88</f>
        <v>0</v>
      </c>
      <c r="P88" s="635"/>
    </row>
    <row r="89" spans="1:16" ht="13.5" thickBot="1">
      <c r="C89" s="645" t="s">
        <v>92</v>
      </c>
      <c r="D89" s="79" t="str">
        <f>D7</f>
        <v>Tulsa SE - E 21st St Tap 138 kV</v>
      </c>
      <c r="E89" s="635"/>
      <c r="F89" s="635"/>
      <c r="G89" s="635"/>
      <c r="H89" s="635"/>
      <c r="I89" s="638"/>
      <c r="J89" s="638"/>
      <c r="K89" s="515"/>
      <c r="L89" s="687" t="s">
        <v>156</v>
      </c>
      <c r="M89" s="517">
        <f>+M88-M87</f>
        <v>-9080.7939148002479</v>
      </c>
      <c r="N89" s="517">
        <f>+N88-N87</f>
        <v>-9080.7939148002479</v>
      </c>
      <c r="O89" s="518">
        <f>+O88-O87</f>
        <v>0</v>
      </c>
      <c r="P89" s="635"/>
    </row>
    <row r="90" spans="1:16" ht="13.5" thickBot="1">
      <c r="C90" s="648"/>
      <c r="E90" s="663"/>
      <c r="F90" s="663"/>
      <c r="G90" s="663"/>
      <c r="H90" s="649"/>
      <c r="I90" s="638"/>
      <c r="J90" s="638"/>
      <c r="K90" s="642"/>
      <c r="L90" s="638"/>
      <c r="M90" s="638"/>
      <c r="N90" s="638"/>
      <c r="O90" s="642"/>
      <c r="P90" s="635"/>
    </row>
    <row r="91" spans="1:16" ht="13.5" thickBot="1">
      <c r="C91" s="688" t="s">
        <v>93</v>
      </c>
      <c r="D91" s="689" t="str">
        <f>+D9</f>
        <v>TP2020033</v>
      </c>
      <c r="E91" s="690"/>
      <c r="F91" s="690"/>
      <c r="G91" s="690"/>
      <c r="H91" s="690"/>
      <c r="I91" s="690"/>
      <c r="J91" s="690"/>
    </row>
    <row r="92" spans="1:16">
      <c r="C92" s="655" t="s">
        <v>226</v>
      </c>
      <c r="D92" s="691">
        <v>1504560.18</v>
      </c>
      <c r="E92" s="635" t="s">
        <v>94</v>
      </c>
      <c r="H92" s="636"/>
      <c r="I92" s="636"/>
      <c r="J92" s="449">
        <f>+'PSO.WS.G.BPU.ATRR.True-up'!M16</f>
        <v>2022</v>
      </c>
      <c r="K92" s="654"/>
      <c r="L92" s="642" t="s">
        <v>95</v>
      </c>
      <c r="P92" s="635"/>
    </row>
    <row r="93" spans="1:16">
      <c r="C93" s="657" t="s">
        <v>53</v>
      </c>
      <c r="D93" s="692">
        <f>+D11</f>
        <v>2022</v>
      </c>
      <c r="E93" s="657" t="s">
        <v>54</v>
      </c>
      <c r="F93" s="636"/>
      <c r="G93" s="636"/>
      <c r="J93" s="658">
        <v>0</v>
      </c>
      <c r="K93" s="659"/>
      <c r="L93" t="str">
        <f>"          INPUT TRUE-UP ARR (WITH &amp; WITHOUT INCENTIVES) FROM EACH PRIOR YEAR"</f>
        <v xml:space="preserve">          INPUT TRUE-UP ARR (WITH &amp; WITHOUT INCENTIVES) FROM EACH PRIOR YEAR</v>
      </c>
      <c r="P93" s="635"/>
    </row>
    <row r="94" spans="1:16">
      <c r="C94" s="657" t="s">
        <v>55</v>
      </c>
      <c r="D94" s="692">
        <f>+D12</f>
        <v>11</v>
      </c>
      <c r="E94" s="657" t="s">
        <v>56</v>
      </c>
      <c r="F94" s="636"/>
      <c r="G94" s="636"/>
      <c r="J94" s="660">
        <v>0.10781124580725182</v>
      </c>
      <c r="K94" s="637"/>
      <c r="L94" t="s">
        <v>96</v>
      </c>
      <c r="P94" s="635"/>
    </row>
    <row r="95" spans="1:16">
      <c r="C95" s="657" t="s">
        <v>58</v>
      </c>
      <c r="D95" s="658">
        <v>42</v>
      </c>
      <c r="E95" s="657" t="s">
        <v>59</v>
      </c>
      <c r="F95" s="636"/>
      <c r="G95" s="636"/>
      <c r="J95" s="660">
        <v>0.10781124580725182</v>
      </c>
      <c r="K95" s="637"/>
      <c r="L95" s="642" t="s">
        <v>60</v>
      </c>
      <c r="M95" s="637"/>
      <c r="N95" s="637"/>
      <c r="O95" s="637"/>
      <c r="P95" s="635"/>
    </row>
    <row r="96" spans="1:16" ht="13.5" thickBot="1">
      <c r="C96" s="657" t="s">
        <v>61</v>
      </c>
      <c r="D96" s="693" t="str">
        <f>+D14</f>
        <v>No</v>
      </c>
      <c r="E96" s="694" t="s">
        <v>63</v>
      </c>
      <c r="F96" s="695"/>
      <c r="G96" s="695"/>
      <c r="H96" s="92"/>
      <c r="I96" s="92"/>
      <c r="J96" s="647">
        <f>IF(D92=0,0,ROUND(D92/D95,0))</f>
        <v>35823</v>
      </c>
      <c r="K96" s="642"/>
      <c r="L96" s="642"/>
      <c r="M96" s="642"/>
      <c r="N96" s="642"/>
      <c r="O96" s="642"/>
      <c r="P96" s="635"/>
    </row>
    <row r="97" spans="1:16" ht="38.25">
      <c r="A97" s="6"/>
      <c r="B97" s="6"/>
      <c r="C97" s="93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93" t="s">
        <v>98</v>
      </c>
      <c r="K97" s="95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6" t="s">
        <v>73</v>
      </c>
      <c r="I98" s="466" t="s">
        <v>74</v>
      </c>
      <c r="J98" s="57" t="s">
        <v>104</v>
      </c>
      <c r="K98" s="55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662">
        <f>IF(D93= "","-",D93)</f>
        <v>2022</v>
      </c>
      <c r="D99" s="663">
        <v>0</v>
      </c>
      <c r="E99" s="670">
        <f>IF(OR(D11=I10,D92&lt;100000),0,J$96/12*(12-D94))</f>
        <v>0</v>
      </c>
      <c r="F99" s="664">
        <f>IF(D93=C99,+D92-E99,+D99-E99)</f>
        <v>1504560.18</v>
      </c>
      <c r="G99" s="696">
        <f>+(F99+D99)/2</f>
        <v>752280.09</v>
      </c>
      <c r="H99" s="696">
        <f>+J$94*G99+E99</f>
        <v>81104.253698891524</v>
      </c>
      <c r="I99" s="696">
        <f>+J$95*G99+E99</f>
        <v>81104.253698891524</v>
      </c>
      <c r="J99" s="669">
        <f>+I99-H99</f>
        <v>0</v>
      </c>
      <c r="K99" s="669"/>
      <c r="L99" s="668">
        <f>+H99</f>
        <v>81104.253698891524</v>
      </c>
      <c r="M99" s="668">
        <f t="shared" ref="M99:M130" si="9">IF(L99&lt;&gt;0,+H99-L99,0)</f>
        <v>0</v>
      </c>
      <c r="N99" s="668">
        <f>+I99</f>
        <v>81104.253698891524</v>
      </c>
      <c r="O99" s="668">
        <f t="shared" ref="O99:O130" si="10">IF(N99&lt;&gt;0,+I99-N99,0)</f>
        <v>0</v>
      </c>
      <c r="P99" s="668">
        <f t="shared" ref="P99:P130" si="11">+O99-M99</f>
        <v>0</v>
      </c>
    </row>
    <row r="100" spans="1:16">
      <c r="B100" s="9" t="str">
        <f>IF(D100=F99,"","IU")</f>
        <v/>
      </c>
      <c r="C100" s="662">
        <f>IF(D93="","-",+C99+1)</f>
        <v>2023</v>
      </c>
      <c r="D100" s="663">
        <f>IF(F99+SUM(E$99:E99)=D$92,F99,D$92-SUM(E$99:E99))</f>
        <v>1504560.18</v>
      </c>
      <c r="E100" s="69">
        <f>IF(+J$96&lt;F99,J$96,D100)</f>
        <v>35823</v>
      </c>
      <c r="F100" s="664">
        <f>+D100-E100</f>
        <v>1468737.18</v>
      </c>
      <c r="G100" s="664">
        <f>+(F100+D100)/2</f>
        <v>1486648.68</v>
      </c>
      <c r="H100" s="130">
        <f t="shared" ref="H100:H154" si="12">+J$94*G100+E100</f>
        <v>196100.44626850644</v>
      </c>
      <c r="I100" s="139">
        <f t="shared" ref="I100:I154" si="13">+J$95*G100+E100</f>
        <v>196100.44626850644</v>
      </c>
      <c r="J100" s="669">
        <f t="shared" ref="J100:J130" si="14">+I100-H100</f>
        <v>0</v>
      </c>
      <c r="K100" s="669"/>
      <c r="L100" s="132"/>
      <c r="M100" s="669">
        <f t="shared" si="9"/>
        <v>0</v>
      </c>
      <c r="N100" s="132"/>
      <c r="O100" s="669">
        <f t="shared" si="10"/>
        <v>0</v>
      </c>
      <c r="P100" s="669">
        <f t="shared" si="11"/>
        <v>0</v>
      </c>
    </row>
    <row r="101" spans="1:16">
      <c r="B101" s="9" t="str">
        <f t="shared" ref="B101:B154" si="15">IF(D101=F100,"","IU")</f>
        <v/>
      </c>
      <c r="C101" s="662">
        <f>IF(D93="","-",+C100+1)</f>
        <v>2024</v>
      </c>
      <c r="D101" s="663">
        <f>IF(F100+SUM(E$99:E100)=D$92,F100,D$92-SUM(E$99:E100))</f>
        <v>1468737.18</v>
      </c>
      <c r="E101" s="69">
        <f t="shared" ref="E101:E154" si="16">IF(+J$96&lt;F100,J$96,D101)</f>
        <v>35823</v>
      </c>
      <c r="F101" s="664">
        <f t="shared" ref="F101:F154" si="17">+D101-E101</f>
        <v>1432914.18</v>
      </c>
      <c r="G101" s="664">
        <f t="shared" ref="G101:G154" si="18">+(F101+D101)/2</f>
        <v>1450825.68</v>
      </c>
      <c r="H101" s="130">
        <f t="shared" si="12"/>
        <v>192238.32400995327</v>
      </c>
      <c r="I101" s="139">
        <f t="shared" si="13"/>
        <v>192238.32400995327</v>
      </c>
      <c r="J101" s="669">
        <f t="shared" si="14"/>
        <v>0</v>
      </c>
      <c r="K101" s="669"/>
      <c r="L101" s="132"/>
      <c r="M101" s="669">
        <f t="shared" si="9"/>
        <v>0</v>
      </c>
      <c r="N101" s="132"/>
      <c r="O101" s="669">
        <f t="shared" si="10"/>
        <v>0</v>
      </c>
      <c r="P101" s="669">
        <f t="shared" si="11"/>
        <v>0</v>
      </c>
    </row>
    <row r="102" spans="1:16">
      <c r="B102" s="9" t="str">
        <f t="shared" si="15"/>
        <v/>
      </c>
      <c r="C102" s="662">
        <f>IF(D93="","-",+C101+1)</f>
        <v>2025</v>
      </c>
      <c r="D102" s="663">
        <f>IF(F101+SUM(E$99:E101)=D$92,F101,D$92-SUM(E$99:E101))</f>
        <v>1432914.18</v>
      </c>
      <c r="E102" s="69">
        <f t="shared" si="16"/>
        <v>35823</v>
      </c>
      <c r="F102" s="664">
        <f t="shared" si="17"/>
        <v>1397091.18</v>
      </c>
      <c r="G102" s="664">
        <f t="shared" si="18"/>
        <v>1415002.68</v>
      </c>
      <c r="H102" s="130">
        <f t="shared" si="12"/>
        <v>188376.20175140008</v>
      </c>
      <c r="I102" s="139">
        <f t="shared" si="13"/>
        <v>188376.20175140008</v>
      </c>
      <c r="J102" s="669">
        <f t="shared" si="14"/>
        <v>0</v>
      </c>
      <c r="K102" s="669"/>
      <c r="L102" s="132"/>
      <c r="M102" s="669">
        <f t="shared" si="9"/>
        <v>0</v>
      </c>
      <c r="N102" s="132"/>
      <c r="O102" s="669">
        <f t="shared" si="10"/>
        <v>0</v>
      </c>
      <c r="P102" s="669">
        <f t="shared" si="11"/>
        <v>0</v>
      </c>
    </row>
    <row r="103" spans="1:16">
      <c r="B103" s="9" t="str">
        <f t="shared" si="15"/>
        <v/>
      </c>
      <c r="C103" s="662">
        <f>IF(D93="","-",+C102+1)</f>
        <v>2026</v>
      </c>
      <c r="D103" s="663">
        <f>IF(F102+SUM(E$99:E102)=D$92,F102,D$92-SUM(E$99:E102))</f>
        <v>1397091.18</v>
      </c>
      <c r="E103" s="69">
        <f t="shared" si="16"/>
        <v>35823</v>
      </c>
      <c r="F103" s="664">
        <f t="shared" si="17"/>
        <v>1361268.18</v>
      </c>
      <c r="G103" s="664">
        <f t="shared" si="18"/>
        <v>1379179.68</v>
      </c>
      <c r="H103" s="130">
        <f t="shared" si="12"/>
        <v>184514.07949284691</v>
      </c>
      <c r="I103" s="139">
        <f t="shared" si="13"/>
        <v>184514.07949284691</v>
      </c>
      <c r="J103" s="669">
        <f t="shared" si="14"/>
        <v>0</v>
      </c>
      <c r="K103" s="669"/>
      <c r="L103" s="132"/>
      <c r="M103" s="669">
        <f t="shared" si="9"/>
        <v>0</v>
      </c>
      <c r="N103" s="132"/>
      <c r="O103" s="669">
        <f t="shared" si="10"/>
        <v>0</v>
      </c>
      <c r="P103" s="669">
        <f t="shared" si="11"/>
        <v>0</v>
      </c>
    </row>
    <row r="104" spans="1:16">
      <c r="B104" s="9" t="str">
        <f t="shared" si="15"/>
        <v/>
      </c>
      <c r="C104" s="662">
        <f>IF(D93="","-",+C103+1)</f>
        <v>2027</v>
      </c>
      <c r="D104" s="663">
        <f>IF(F103+SUM(E$99:E103)=D$92,F103,D$92-SUM(E$99:E103))</f>
        <v>1361268.18</v>
      </c>
      <c r="E104" s="69">
        <f t="shared" si="16"/>
        <v>35823</v>
      </c>
      <c r="F104" s="664">
        <f t="shared" si="17"/>
        <v>1325445.18</v>
      </c>
      <c r="G104" s="664">
        <f t="shared" si="18"/>
        <v>1343356.68</v>
      </c>
      <c r="H104" s="130">
        <f t="shared" si="12"/>
        <v>180651.95723429372</v>
      </c>
      <c r="I104" s="139">
        <f t="shared" si="13"/>
        <v>180651.95723429372</v>
      </c>
      <c r="J104" s="669">
        <f t="shared" si="14"/>
        <v>0</v>
      </c>
      <c r="K104" s="669"/>
      <c r="L104" s="132"/>
      <c r="M104" s="669">
        <f t="shared" si="9"/>
        <v>0</v>
      </c>
      <c r="N104" s="132"/>
      <c r="O104" s="669">
        <f t="shared" si="10"/>
        <v>0</v>
      </c>
      <c r="P104" s="669">
        <f t="shared" si="11"/>
        <v>0</v>
      </c>
    </row>
    <row r="105" spans="1:16">
      <c r="B105" s="9" t="str">
        <f t="shared" si="15"/>
        <v/>
      </c>
      <c r="C105" s="662">
        <f>IF(D93="","-",+C104+1)</f>
        <v>2028</v>
      </c>
      <c r="D105" s="663">
        <f>IF(F104+SUM(E$99:E104)=D$92,F104,D$92-SUM(E$99:E104))</f>
        <v>1325445.18</v>
      </c>
      <c r="E105" s="69">
        <f t="shared" si="16"/>
        <v>35823</v>
      </c>
      <c r="F105" s="664">
        <f t="shared" si="17"/>
        <v>1289622.18</v>
      </c>
      <c r="G105" s="664">
        <f t="shared" si="18"/>
        <v>1307533.68</v>
      </c>
      <c r="H105" s="130">
        <f t="shared" si="12"/>
        <v>176789.83497574052</v>
      </c>
      <c r="I105" s="139">
        <f t="shared" si="13"/>
        <v>176789.83497574052</v>
      </c>
      <c r="J105" s="669">
        <f t="shared" si="14"/>
        <v>0</v>
      </c>
      <c r="K105" s="669"/>
      <c r="L105" s="132"/>
      <c r="M105" s="669">
        <f t="shared" si="9"/>
        <v>0</v>
      </c>
      <c r="N105" s="132"/>
      <c r="O105" s="669">
        <f t="shared" si="10"/>
        <v>0</v>
      </c>
      <c r="P105" s="669">
        <f t="shared" si="11"/>
        <v>0</v>
      </c>
    </row>
    <row r="106" spans="1:16">
      <c r="B106" s="9" t="str">
        <f t="shared" si="15"/>
        <v/>
      </c>
      <c r="C106" s="662">
        <f>IF(D93="","-",+C105+1)</f>
        <v>2029</v>
      </c>
      <c r="D106" s="663">
        <f>IF(F105+SUM(E$99:E105)=D$92,F105,D$92-SUM(E$99:E105))</f>
        <v>1289622.18</v>
      </c>
      <c r="E106" s="69">
        <f t="shared" si="16"/>
        <v>35823</v>
      </c>
      <c r="F106" s="664">
        <f t="shared" si="17"/>
        <v>1253799.18</v>
      </c>
      <c r="G106" s="664">
        <f t="shared" si="18"/>
        <v>1271710.68</v>
      </c>
      <c r="H106" s="130">
        <f t="shared" si="12"/>
        <v>172927.71271718736</v>
      </c>
      <c r="I106" s="139">
        <f t="shared" si="13"/>
        <v>172927.71271718736</v>
      </c>
      <c r="J106" s="669">
        <f t="shared" si="14"/>
        <v>0</v>
      </c>
      <c r="K106" s="669"/>
      <c r="L106" s="132"/>
      <c r="M106" s="669">
        <f t="shared" si="9"/>
        <v>0</v>
      </c>
      <c r="N106" s="132"/>
      <c r="O106" s="669">
        <f t="shared" si="10"/>
        <v>0</v>
      </c>
      <c r="P106" s="669">
        <f t="shared" si="11"/>
        <v>0</v>
      </c>
    </row>
    <row r="107" spans="1:16">
      <c r="B107" s="9" t="str">
        <f t="shared" si="15"/>
        <v/>
      </c>
      <c r="C107" s="662">
        <f>IF(D93="","-",+C106+1)</f>
        <v>2030</v>
      </c>
      <c r="D107" s="663">
        <f>IF(F106+SUM(E$99:E106)=D$92,F106,D$92-SUM(E$99:E106))</f>
        <v>1253799.18</v>
      </c>
      <c r="E107" s="69">
        <f t="shared" si="16"/>
        <v>35823</v>
      </c>
      <c r="F107" s="664">
        <f t="shared" si="17"/>
        <v>1217976.18</v>
      </c>
      <c r="G107" s="664">
        <f t="shared" si="18"/>
        <v>1235887.68</v>
      </c>
      <c r="H107" s="130">
        <f t="shared" si="12"/>
        <v>169065.59045863416</v>
      </c>
      <c r="I107" s="139">
        <f t="shared" si="13"/>
        <v>169065.59045863416</v>
      </c>
      <c r="J107" s="669">
        <f t="shared" si="14"/>
        <v>0</v>
      </c>
      <c r="K107" s="669"/>
      <c r="L107" s="132"/>
      <c r="M107" s="669">
        <f t="shared" si="9"/>
        <v>0</v>
      </c>
      <c r="N107" s="132"/>
      <c r="O107" s="669">
        <f t="shared" si="10"/>
        <v>0</v>
      </c>
      <c r="P107" s="669">
        <f t="shared" si="11"/>
        <v>0</v>
      </c>
    </row>
    <row r="108" spans="1:16">
      <c r="B108" s="9" t="str">
        <f t="shared" si="15"/>
        <v/>
      </c>
      <c r="C108" s="662">
        <f>IF(D93="","-",+C107+1)</f>
        <v>2031</v>
      </c>
      <c r="D108" s="663">
        <f>IF(F107+SUM(E$99:E107)=D$92,F107,D$92-SUM(E$99:E107))</f>
        <v>1217976.18</v>
      </c>
      <c r="E108" s="69">
        <f t="shared" si="16"/>
        <v>35823</v>
      </c>
      <c r="F108" s="664">
        <f t="shared" si="17"/>
        <v>1182153.18</v>
      </c>
      <c r="G108" s="664">
        <f t="shared" si="18"/>
        <v>1200064.68</v>
      </c>
      <c r="H108" s="130">
        <f t="shared" si="12"/>
        <v>165203.46820008097</v>
      </c>
      <c r="I108" s="139">
        <f t="shared" si="13"/>
        <v>165203.46820008097</v>
      </c>
      <c r="J108" s="669">
        <f t="shared" si="14"/>
        <v>0</v>
      </c>
      <c r="K108" s="669"/>
      <c r="L108" s="132"/>
      <c r="M108" s="669">
        <f t="shared" si="9"/>
        <v>0</v>
      </c>
      <c r="N108" s="132"/>
      <c r="O108" s="669">
        <f t="shared" si="10"/>
        <v>0</v>
      </c>
      <c r="P108" s="669">
        <f t="shared" si="11"/>
        <v>0</v>
      </c>
    </row>
    <row r="109" spans="1:16">
      <c r="B109" s="9" t="str">
        <f t="shared" si="15"/>
        <v/>
      </c>
      <c r="C109" s="662">
        <f>IF(D93="","-",+C108+1)</f>
        <v>2032</v>
      </c>
      <c r="D109" s="663">
        <f>IF(F108+SUM(E$99:E108)=D$92,F108,D$92-SUM(E$99:E108))</f>
        <v>1182153.18</v>
      </c>
      <c r="E109" s="69">
        <f t="shared" si="16"/>
        <v>35823</v>
      </c>
      <c r="F109" s="664">
        <f t="shared" si="17"/>
        <v>1146330.18</v>
      </c>
      <c r="G109" s="664">
        <f t="shared" si="18"/>
        <v>1164241.68</v>
      </c>
      <c r="H109" s="130">
        <f t="shared" si="12"/>
        <v>161341.3459415278</v>
      </c>
      <c r="I109" s="139">
        <f t="shared" si="13"/>
        <v>161341.3459415278</v>
      </c>
      <c r="J109" s="669">
        <f t="shared" si="14"/>
        <v>0</v>
      </c>
      <c r="K109" s="669"/>
      <c r="L109" s="132"/>
      <c r="M109" s="669">
        <f t="shared" si="9"/>
        <v>0</v>
      </c>
      <c r="N109" s="132"/>
      <c r="O109" s="669">
        <f t="shared" si="10"/>
        <v>0</v>
      </c>
      <c r="P109" s="669">
        <f t="shared" si="11"/>
        <v>0</v>
      </c>
    </row>
    <row r="110" spans="1:16">
      <c r="B110" s="9" t="str">
        <f t="shared" si="15"/>
        <v/>
      </c>
      <c r="C110" s="662">
        <f>IF(D93="","-",+C109+1)</f>
        <v>2033</v>
      </c>
      <c r="D110" s="663">
        <f>IF(F109+SUM(E$99:E109)=D$92,F109,D$92-SUM(E$99:E109))</f>
        <v>1146330.18</v>
      </c>
      <c r="E110" s="69">
        <f t="shared" si="16"/>
        <v>35823</v>
      </c>
      <c r="F110" s="664">
        <f t="shared" si="17"/>
        <v>1110507.18</v>
      </c>
      <c r="G110" s="664">
        <f t="shared" si="18"/>
        <v>1128418.68</v>
      </c>
      <c r="H110" s="130">
        <f t="shared" si="12"/>
        <v>157479.22368297464</v>
      </c>
      <c r="I110" s="139">
        <f t="shared" si="13"/>
        <v>157479.22368297464</v>
      </c>
      <c r="J110" s="669">
        <f t="shared" si="14"/>
        <v>0</v>
      </c>
      <c r="K110" s="669"/>
      <c r="L110" s="132"/>
      <c r="M110" s="669">
        <f t="shared" si="9"/>
        <v>0</v>
      </c>
      <c r="N110" s="132"/>
      <c r="O110" s="669">
        <f t="shared" si="10"/>
        <v>0</v>
      </c>
      <c r="P110" s="669">
        <f t="shared" si="11"/>
        <v>0</v>
      </c>
    </row>
    <row r="111" spans="1:16">
      <c r="B111" s="9" t="str">
        <f t="shared" si="15"/>
        <v/>
      </c>
      <c r="C111" s="662">
        <f>IF(D93="","-",+C110+1)</f>
        <v>2034</v>
      </c>
      <c r="D111" s="663">
        <f>IF(F110+SUM(E$99:E110)=D$92,F110,D$92-SUM(E$99:E110))</f>
        <v>1110507.18</v>
      </c>
      <c r="E111" s="69">
        <f t="shared" si="16"/>
        <v>35823</v>
      </c>
      <c r="F111" s="664">
        <f t="shared" si="17"/>
        <v>1074684.18</v>
      </c>
      <c r="G111" s="664">
        <f t="shared" si="18"/>
        <v>1092595.68</v>
      </c>
      <c r="H111" s="130">
        <f t="shared" si="12"/>
        <v>153617.10142442145</v>
      </c>
      <c r="I111" s="139">
        <f t="shared" si="13"/>
        <v>153617.10142442145</v>
      </c>
      <c r="J111" s="669">
        <f t="shared" si="14"/>
        <v>0</v>
      </c>
      <c r="K111" s="669"/>
      <c r="L111" s="132"/>
      <c r="M111" s="669">
        <f t="shared" si="9"/>
        <v>0</v>
      </c>
      <c r="N111" s="132"/>
      <c r="O111" s="669">
        <f t="shared" si="10"/>
        <v>0</v>
      </c>
      <c r="P111" s="669">
        <f t="shared" si="11"/>
        <v>0</v>
      </c>
    </row>
    <row r="112" spans="1:16">
      <c r="B112" s="9" t="str">
        <f t="shared" si="15"/>
        <v/>
      </c>
      <c r="C112" s="662">
        <f>IF(D93="","-",+C111+1)</f>
        <v>2035</v>
      </c>
      <c r="D112" s="663">
        <f>IF(F111+SUM(E$99:E111)=D$92,F111,D$92-SUM(E$99:E111))</f>
        <v>1074684.18</v>
      </c>
      <c r="E112" s="69">
        <f t="shared" si="16"/>
        <v>35823</v>
      </c>
      <c r="F112" s="664">
        <f t="shared" si="17"/>
        <v>1038861.1799999999</v>
      </c>
      <c r="G112" s="664">
        <f t="shared" si="18"/>
        <v>1056772.68</v>
      </c>
      <c r="H112" s="130">
        <f t="shared" si="12"/>
        <v>149754.97916586825</v>
      </c>
      <c r="I112" s="139">
        <f t="shared" si="13"/>
        <v>149754.97916586825</v>
      </c>
      <c r="J112" s="669">
        <f t="shared" si="14"/>
        <v>0</v>
      </c>
      <c r="K112" s="669"/>
      <c r="L112" s="132"/>
      <c r="M112" s="669">
        <f t="shared" si="9"/>
        <v>0</v>
      </c>
      <c r="N112" s="132"/>
      <c r="O112" s="669">
        <f t="shared" si="10"/>
        <v>0</v>
      </c>
      <c r="P112" s="669">
        <f t="shared" si="11"/>
        <v>0</v>
      </c>
    </row>
    <row r="113" spans="2:16">
      <c r="B113" s="9" t="str">
        <f t="shared" si="15"/>
        <v/>
      </c>
      <c r="C113" s="662">
        <f>IF(D93="","-",+C112+1)</f>
        <v>2036</v>
      </c>
      <c r="D113" s="663">
        <f>IF(F112+SUM(E$99:E112)=D$92,F112,D$92-SUM(E$99:E112))</f>
        <v>1038861.1799999999</v>
      </c>
      <c r="E113" s="69">
        <f t="shared" si="16"/>
        <v>35823</v>
      </c>
      <c r="F113" s="664">
        <f t="shared" si="17"/>
        <v>1003038.1799999999</v>
      </c>
      <c r="G113" s="664">
        <f t="shared" si="18"/>
        <v>1020949.6799999999</v>
      </c>
      <c r="H113" s="130">
        <f t="shared" si="12"/>
        <v>145892.85690731509</v>
      </c>
      <c r="I113" s="139">
        <f t="shared" si="13"/>
        <v>145892.85690731509</v>
      </c>
      <c r="J113" s="669">
        <f t="shared" si="14"/>
        <v>0</v>
      </c>
      <c r="K113" s="669"/>
      <c r="L113" s="132"/>
      <c r="M113" s="669">
        <f t="shared" si="9"/>
        <v>0</v>
      </c>
      <c r="N113" s="132"/>
      <c r="O113" s="669">
        <f t="shared" si="10"/>
        <v>0</v>
      </c>
      <c r="P113" s="669">
        <f t="shared" si="11"/>
        <v>0</v>
      </c>
    </row>
    <row r="114" spans="2:16">
      <c r="B114" s="9" t="str">
        <f t="shared" si="15"/>
        <v/>
      </c>
      <c r="C114" s="662">
        <f>IF(D93="","-",+C113+1)</f>
        <v>2037</v>
      </c>
      <c r="D114" s="663">
        <f>IF(F113+SUM(E$99:E113)=D$92,F113,D$92-SUM(E$99:E113))</f>
        <v>1003038.1799999999</v>
      </c>
      <c r="E114" s="69">
        <f t="shared" si="16"/>
        <v>35823</v>
      </c>
      <c r="F114" s="664">
        <f t="shared" si="17"/>
        <v>967215.17999999993</v>
      </c>
      <c r="G114" s="664">
        <f t="shared" si="18"/>
        <v>985126.67999999993</v>
      </c>
      <c r="H114" s="130">
        <f t="shared" si="12"/>
        <v>142030.73464876189</v>
      </c>
      <c r="I114" s="139">
        <f t="shared" si="13"/>
        <v>142030.73464876189</v>
      </c>
      <c r="J114" s="669">
        <f t="shared" si="14"/>
        <v>0</v>
      </c>
      <c r="K114" s="669"/>
      <c r="L114" s="132"/>
      <c r="M114" s="669">
        <f t="shared" si="9"/>
        <v>0</v>
      </c>
      <c r="N114" s="132"/>
      <c r="O114" s="669">
        <f t="shared" si="10"/>
        <v>0</v>
      </c>
      <c r="P114" s="669">
        <f t="shared" si="11"/>
        <v>0</v>
      </c>
    </row>
    <row r="115" spans="2:16">
      <c r="B115" s="9" t="str">
        <f t="shared" si="15"/>
        <v/>
      </c>
      <c r="C115" s="662">
        <f>IF(D93="","-",+C114+1)</f>
        <v>2038</v>
      </c>
      <c r="D115" s="663">
        <f>IF(F114+SUM(E$99:E114)=D$92,F114,D$92-SUM(E$99:E114))</f>
        <v>967215.17999999993</v>
      </c>
      <c r="E115" s="69">
        <f t="shared" si="16"/>
        <v>35823</v>
      </c>
      <c r="F115" s="664">
        <f t="shared" si="17"/>
        <v>931392.17999999993</v>
      </c>
      <c r="G115" s="664">
        <f t="shared" si="18"/>
        <v>949303.67999999993</v>
      </c>
      <c r="H115" s="130">
        <f t="shared" si="12"/>
        <v>138168.6123902087</v>
      </c>
      <c r="I115" s="139">
        <f t="shared" si="13"/>
        <v>138168.6123902087</v>
      </c>
      <c r="J115" s="669">
        <f t="shared" si="14"/>
        <v>0</v>
      </c>
      <c r="K115" s="669"/>
      <c r="L115" s="132"/>
      <c r="M115" s="669">
        <f t="shared" si="9"/>
        <v>0</v>
      </c>
      <c r="N115" s="132"/>
      <c r="O115" s="669">
        <f t="shared" si="10"/>
        <v>0</v>
      </c>
      <c r="P115" s="669">
        <f t="shared" si="11"/>
        <v>0</v>
      </c>
    </row>
    <row r="116" spans="2:16">
      <c r="B116" s="9" t="str">
        <f t="shared" si="15"/>
        <v/>
      </c>
      <c r="C116" s="662">
        <f>IF(D93="","-",+C115+1)</f>
        <v>2039</v>
      </c>
      <c r="D116" s="663">
        <f>IF(F115+SUM(E$99:E115)=D$92,F115,D$92-SUM(E$99:E115))</f>
        <v>931392.17999999993</v>
      </c>
      <c r="E116" s="69">
        <f t="shared" si="16"/>
        <v>35823</v>
      </c>
      <c r="F116" s="664">
        <f t="shared" si="17"/>
        <v>895569.17999999993</v>
      </c>
      <c r="G116" s="664">
        <f t="shared" si="18"/>
        <v>913480.67999999993</v>
      </c>
      <c r="H116" s="130">
        <f t="shared" si="12"/>
        <v>134306.49013165553</v>
      </c>
      <c r="I116" s="139">
        <f t="shared" si="13"/>
        <v>134306.49013165553</v>
      </c>
      <c r="J116" s="669">
        <f t="shared" si="14"/>
        <v>0</v>
      </c>
      <c r="K116" s="669"/>
      <c r="L116" s="132"/>
      <c r="M116" s="669">
        <f t="shared" si="9"/>
        <v>0</v>
      </c>
      <c r="N116" s="132"/>
      <c r="O116" s="669">
        <f t="shared" si="10"/>
        <v>0</v>
      </c>
      <c r="P116" s="669">
        <f t="shared" si="11"/>
        <v>0</v>
      </c>
    </row>
    <row r="117" spans="2:16">
      <c r="B117" s="9" t="str">
        <f t="shared" si="15"/>
        <v/>
      </c>
      <c r="C117" s="662">
        <f>IF(D93="","-",+C116+1)</f>
        <v>2040</v>
      </c>
      <c r="D117" s="663">
        <f>IF(F116+SUM(E$99:E116)=D$92,F116,D$92-SUM(E$99:E116))</f>
        <v>895569.17999999993</v>
      </c>
      <c r="E117" s="69">
        <f t="shared" si="16"/>
        <v>35823</v>
      </c>
      <c r="F117" s="664">
        <f t="shared" si="17"/>
        <v>859746.17999999993</v>
      </c>
      <c r="G117" s="664">
        <f t="shared" si="18"/>
        <v>877657.67999999993</v>
      </c>
      <c r="H117" s="130">
        <f t="shared" si="12"/>
        <v>130444.36787310235</v>
      </c>
      <c r="I117" s="139">
        <f t="shared" si="13"/>
        <v>130444.36787310235</v>
      </c>
      <c r="J117" s="669">
        <f t="shared" si="14"/>
        <v>0</v>
      </c>
      <c r="K117" s="669"/>
      <c r="L117" s="132"/>
      <c r="M117" s="669">
        <f t="shared" si="9"/>
        <v>0</v>
      </c>
      <c r="N117" s="132"/>
      <c r="O117" s="669">
        <f t="shared" si="10"/>
        <v>0</v>
      </c>
      <c r="P117" s="669">
        <f t="shared" si="11"/>
        <v>0</v>
      </c>
    </row>
    <row r="118" spans="2:16">
      <c r="B118" s="9" t="str">
        <f t="shared" si="15"/>
        <v/>
      </c>
      <c r="C118" s="662">
        <f>IF(D93="","-",+C117+1)</f>
        <v>2041</v>
      </c>
      <c r="D118" s="663">
        <f>IF(F117+SUM(E$99:E117)=D$92,F117,D$92-SUM(E$99:E117))</f>
        <v>859746.17999999993</v>
      </c>
      <c r="E118" s="69">
        <f t="shared" si="16"/>
        <v>35823</v>
      </c>
      <c r="F118" s="664">
        <f t="shared" si="17"/>
        <v>823923.17999999993</v>
      </c>
      <c r="G118" s="664">
        <f t="shared" si="18"/>
        <v>841834.67999999993</v>
      </c>
      <c r="H118" s="130">
        <f t="shared" si="12"/>
        <v>126582.24561454917</v>
      </c>
      <c r="I118" s="139">
        <f t="shared" si="13"/>
        <v>126582.24561454917</v>
      </c>
      <c r="J118" s="669">
        <f t="shared" si="14"/>
        <v>0</v>
      </c>
      <c r="K118" s="669"/>
      <c r="L118" s="132"/>
      <c r="M118" s="669">
        <f t="shared" si="9"/>
        <v>0</v>
      </c>
      <c r="N118" s="132"/>
      <c r="O118" s="669">
        <f t="shared" si="10"/>
        <v>0</v>
      </c>
      <c r="P118" s="669">
        <f t="shared" si="11"/>
        <v>0</v>
      </c>
    </row>
    <row r="119" spans="2:16">
      <c r="B119" s="9" t="str">
        <f t="shared" si="15"/>
        <v/>
      </c>
      <c r="C119" s="662">
        <f>IF(D93="","-",+C118+1)</f>
        <v>2042</v>
      </c>
      <c r="D119" s="663">
        <f>IF(F118+SUM(E$99:E118)=D$92,F118,D$92-SUM(E$99:E118))</f>
        <v>823923.17999999993</v>
      </c>
      <c r="E119" s="69">
        <f t="shared" si="16"/>
        <v>35823</v>
      </c>
      <c r="F119" s="664">
        <f t="shared" si="17"/>
        <v>788100.17999999993</v>
      </c>
      <c r="G119" s="664">
        <f t="shared" si="18"/>
        <v>806011.67999999993</v>
      </c>
      <c r="H119" s="130">
        <f t="shared" si="12"/>
        <v>122720.12335599599</v>
      </c>
      <c r="I119" s="139">
        <f t="shared" si="13"/>
        <v>122720.12335599599</v>
      </c>
      <c r="J119" s="669">
        <f t="shared" si="14"/>
        <v>0</v>
      </c>
      <c r="K119" s="669"/>
      <c r="L119" s="132"/>
      <c r="M119" s="669">
        <f t="shared" si="9"/>
        <v>0</v>
      </c>
      <c r="N119" s="132"/>
      <c r="O119" s="669">
        <f t="shared" si="10"/>
        <v>0</v>
      </c>
      <c r="P119" s="669">
        <f t="shared" si="11"/>
        <v>0</v>
      </c>
    </row>
    <row r="120" spans="2:16">
      <c r="B120" s="9" t="str">
        <f t="shared" si="15"/>
        <v/>
      </c>
      <c r="C120" s="662">
        <f>IF(D93="","-",+C119+1)</f>
        <v>2043</v>
      </c>
      <c r="D120" s="663">
        <f>IF(F119+SUM(E$99:E119)=D$92,F119,D$92-SUM(E$99:E119))</f>
        <v>788100.17999999993</v>
      </c>
      <c r="E120" s="69">
        <f t="shared" si="16"/>
        <v>35823</v>
      </c>
      <c r="F120" s="664">
        <f t="shared" si="17"/>
        <v>752277.17999999993</v>
      </c>
      <c r="G120" s="664">
        <f t="shared" si="18"/>
        <v>770188.67999999993</v>
      </c>
      <c r="H120" s="130">
        <f t="shared" si="12"/>
        <v>118858.0010974428</v>
      </c>
      <c r="I120" s="139">
        <f t="shared" si="13"/>
        <v>118858.0010974428</v>
      </c>
      <c r="J120" s="669">
        <f t="shared" si="14"/>
        <v>0</v>
      </c>
      <c r="K120" s="669"/>
      <c r="L120" s="132"/>
      <c r="M120" s="669">
        <f t="shared" si="9"/>
        <v>0</v>
      </c>
      <c r="N120" s="132"/>
      <c r="O120" s="669">
        <f t="shared" si="10"/>
        <v>0</v>
      </c>
      <c r="P120" s="669">
        <f t="shared" si="11"/>
        <v>0</v>
      </c>
    </row>
    <row r="121" spans="2:16">
      <c r="B121" s="9" t="str">
        <f t="shared" si="15"/>
        <v/>
      </c>
      <c r="C121" s="662">
        <f>IF(D93="","-",+C120+1)</f>
        <v>2044</v>
      </c>
      <c r="D121" s="663">
        <f>IF(F120+SUM(E$99:E120)=D$92,F120,D$92-SUM(E$99:E120))</f>
        <v>752277.17999999993</v>
      </c>
      <c r="E121" s="69">
        <f t="shared" si="16"/>
        <v>35823</v>
      </c>
      <c r="F121" s="664">
        <f t="shared" si="17"/>
        <v>716454.17999999993</v>
      </c>
      <c r="G121" s="664">
        <f t="shared" si="18"/>
        <v>734365.67999999993</v>
      </c>
      <c r="H121" s="130">
        <f t="shared" si="12"/>
        <v>114995.87883888962</v>
      </c>
      <c r="I121" s="139">
        <f t="shared" si="13"/>
        <v>114995.87883888962</v>
      </c>
      <c r="J121" s="669">
        <f t="shared" si="14"/>
        <v>0</v>
      </c>
      <c r="K121" s="669"/>
      <c r="L121" s="132"/>
      <c r="M121" s="669">
        <f t="shared" si="9"/>
        <v>0</v>
      </c>
      <c r="N121" s="132"/>
      <c r="O121" s="669">
        <f t="shared" si="10"/>
        <v>0</v>
      </c>
      <c r="P121" s="669">
        <f t="shared" si="11"/>
        <v>0</v>
      </c>
    </row>
    <row r="122" spans="2:16">
      <c r="B122" s="9" t="str">
        <f t="shared" si="15"/>
        <v/>
      </c>
      <c r="C122" s="662">
        <f>IF(D93="","-",+C121+1)</f>
        <v>2045</v>
      </c>
      <c r="D122" s="663">
        <f>IF(F121+SUM(E$99:E121)=D$92,F121,D$92-SUM(E$99:E121))</f>
        <v>716454.17999999993</v>
      </c>
      <c r="E122" s="69">
        <f t="shared" si="16"/>
        <v>35823</v>
      </c>
      <c r="F122" s="664">
        <f t="shared" si="17"/>
        <v>680631.17999999993</v>
      </c>
      <c r="G122" s="664">
        <f t="shared" si="18"/>
        <v>698542.67999999993</v>
      </c>
      <c r="H122" s="130">
        <f t="shared" si="12"/>
        <v>111133.75658033644</v>
      </c>
      <c r="I122" s="139">
        <f t="shared" si="13"/>
        <v>111133.75658033644</v>
      </c>
      <c r="J122" s="669">
        <f t="shared" si="14"/>
        <v>0</v>
      </c>
      <c r="K122" s="669"/>
      <c r="L122" s="132"/>
      <c r="M122" s="669">
        <f t="shared" si="9"/>
        <v>0</v>
      </c>
      <c r="N122" s="132"/>
      <c r="O122" s="669">
        <f t="shared" si="10"/>
        <v>0</v>
      </c>
      <c r="P122" s="669">
        <f t="shared" si="11"/>
        <v>0</v>
      </c>
    </row>
    <row r="123" spans="2:16">
      <c r="B123" s="9" t="str">
        <f t="shared" si="15"/>
        <v/>
      </c>
      <c r="C123" s="662">
        <f>IF(D93="","-",+C122+1)</f>
        <v>2046</v>
      </c>
      <c r="D123" s="663">
        <f>IF(F122+SUM(E$99:E122)=D$92,F122,D$92-SUM(E$99:E122))</f>
        <v>680631.17999999993</v>
      </c>
      <c r="E123" s="69">
        <f t="shared" si="16"/>
        <v>35823</v>
      </c>
      <c r="F123" s="664">
        <f t="shared" si="17"/>
        <v>644808.17999999993</v>
      </c>
      <c r="G123" s="664">
        <f t="shared" si="18"/>
        <v>662719.67999999993</v>
      </c>
      <c r="H123" s="130">
        <f t="shared" si="12"/>
        <v>107271.63432178326</v>
      </c>
      <c r="I123" s="139">
        <f t="shared" si="13"/>
        <v>107271.63432178326</v>
      </c>
      <c r="J123" s="669">
        <f t="shared" si="14"/>
        <v>0</v>
      </c>
      <c r="K123" s="669"/>
      <c r="L123" s="132"/>
      <c r="M123" s="669">
        <f t="shared" si="9"/>
        <v>0</v>
      </c>
      <c r="N123" s="132"/>
      <c r="O123" s="669">
        <f t="shared" si="10"/>
        <v>0</v>
      </c>
      <c r="P123" s="669">
        <f t="shared" si="11"/>
        <v>0</v>
      </c>
    </row>
    <row r="124" spans="2:16">
      <c r="B124" s="9" t="str">
        <f t="shared" si="15"/>
        <v/>
      </c>
      <c r="C124" s="662">
        <f>IF(D93="","-",+C123+1)</f>
        <v>2047</v>
      </c>
      <c r="D124" s="663">
        <f>IF(F123+SUM(E$99:E123)=D$92,F123,D$92-SUM(E$99:E123))</f>
        <v>644808.17999999993</v>
      </c>
      <c r="E124" s="69">
        <f t="shared" si="16"/>
        <v>35823</v>
      </c>
      <c r="F124" s="664">
        <f t="shared" si="17"/>
        <v>608985.17999999993</v>
      </c>
      <c r="G124" s="664">
        <f t="shared" si="18"/>
        <v>626896.67999999993</v>
      </c>
      <c r="H124" s="130">
        <f t="shared" si="12"/>
        <v>103409.51206323008</v>
      </c>
      <c r="I124" s="139">
        <f t="shared" si="13"/>
        <v>103409.51206323008</v>
      </c>
      <c r="J124" s="669">
        <f t="shared" si="14"/>
        <v>0</v>
      </c>
      <c r="K124" s="669"/>
      <c r="L124" s="132"/>
      <c r="M124" s="669">
        <f t="shared" si="9"/>
        <v>0</v>
      </c>
      <c r="N124" s="132"/>
      <c r="O124" s="669">
        <f t="shared" si="10"/>
        <v>0</v>
      </c>
      <c r="P124" s="669">
        <f t="shared" si="11"/>
        <v>0</v>
      </c>
    </row>
    <row r="125" spans="2:16">
      <c r="B125" s="9" t="str">
        <f t="shared" si="15"/>
        <v/>
      </c>
      <c r="C125" s="662">
        <f>IF(D93="","-",+C124+1)</f>
        <v>2048</v>
      </c>
      <c r="D125" s="663">
        <f>IF(F124+SUM(E$99:E124)=D$92,F124,D$92-SUM(E$99:E124))</f>
        <v>608985.17999999993</v>
      </c>
      <c r="E125" s="69">
        <f t="shared" si="16"/>
        <v>35823</v>
      </c>
      <c r="F125" s="664">
        <f t="shared" si="17"/>
        <v>573162.17999999993</v>
      </c>
      <c r="G125" s="664">
        <f t="shared" si="18"/>
        <v>591073.67999999993</v>
      </c>
      <c r="H125" s="130">
        <f t="shared" si="12"/>
        <v>99547.389804676903</v>
      </c>
      <c r="I125" s="139">
        <f t="shared" si="13"/>
        <v>99547.389804676903</v>
      </c>
      <c r="J125" s="669">
        <f t="shared" si="14"/>
        <v>0</v>
      </c>
      <c r="K125" s="669"/>
      <c r="L125" s="132"/>
      <c r="M125" s="669">
        <f t="shared" si="9"/>
        <v>0</v>
      </c>
      <c r="N125" s="132"/>
      <c r="O125" s="669">
        <f t="shared" si="10"/>
        <v>0</v>
      </c>
      <c r="P125" s="669">
        <f t="shared" si="11"/>
        <v>0</v>
      </c>
    </row>
    <row r="126" spans="2:16">
      <c r="B126" s="9" t="str">
        <f t="shared" si="15"/>
        <v/>
      </c>
      <c r="C126" s="662">
        <f>IF(D93="","-",+C125+1)</f>
        <v>2049</v>
      </c>
      <c r="D126" s="663">
        <f>IF(F125+SUM(E$99:E125)=D$92,F125,D$92-SUM(E$99:E125))</f>
        <v>573162.17999999993</v>
      </c>
      <c r="E126" s="69">
        <f t="shared" si="16"/>
        <v>35823</v>
      </c>
      <c r="F126" s="664">
        <f t="shared" si="17"/>
        <v>537339.17999999993</v>
      </c>
      <c r="G126" s="664">
        <f t="shared" si="18"/>
        <v>555250.67999999993</v>
      </c>
      <c r="H126" s="130">
        <f t="shared" si="12"/>
        <v>95685.267546123709</v>
      </c>
      <c r="I126" s="139">
        <f t="shared" si="13"/>
        <v>95685.267546123709</v>
      </c>
      <c r="J126" s="669">
        <f t="shared" si="14"/>
        <v>0</v>
      </c>
      <c r="K126" s="669"/>
      <c r="L126" s="132"/>
      <c r="M126" s="669">
        <f t="shared" si="9"/>
        <v>0</v>
      </c>
      <c r="N126" s="132"/>
      <c r="O126" s="669">
        <f t="shared" si="10"/>
        <v>0</v>
      </c>
      <c r="P126" s="669">
        <f t="shared" si="11"/>
        <v>0</v>
      </c>
    </row>
    <row r="127" spans="2:16">
      <c r="B127" s="9" t="str">
        <f t="shared" si="15"/>
        <v/>
      </c>
      <c r="C127" s="662">
        <f>IF(D93="","-",+C126+1)</f>
        <v>2050</v>
      </c>
      <c r="D127" s="663">
        <f>IF(F126+SUM(E$99:E126)=D$92,F126,D$92-SUM(E$99:E126))</f>
        <v>537339.17999999993</v>
      </c>
      <c r="E127" s="69">
        <f t="shared" si="16"/>
        <v>35823</v>
      </c>
      <c r="F127" s="664">
        <f t="shared" si="17"/>
        <v>501516.17999999993</v>
      </c>
      <c r="G127" s="664">
        <f t="shared" si="18"/>
        <v>519427.67999999993</v>
      </c>
      <c r="H127" s="130">
        <f t="shared" si="12"/>
        <v>91823.145287570544</v>
      </c>
      <c r="I127" s="139">
        <f t="shared" si="13"/>
        <v>91823.145287570544</v>
      </c>
      <c r="J127" s="669">
        <f t="shared" si="14"/>
        <v>0</v>
      </c>
      <c r="K127" s="669"/>
      <c r="L127" s="132"/>
      <c r="M127" s="669">
        <f t="shared" si="9"/>
        <v>0</v>
      </c>
      <c r="N127" s="132"/>
      <c r="O127" s="669">
        <f t="shared" si="10"/>
        <v>0</v>
      </c>
      <c r="P127" s="669">
        <f t="shared" si="11"/>
        <v>0</v>
      </c>
    </row>
    <row r="128" spans="2:16">
      <c r="B128" s="9" t="str">
        <f t="shared" si="15"/>
        <v/>
      </c>
      <c r="C128" s="662">
        <f>IF(D93="","-",+C127+1)</f>
        <v>2051</v>
      </c>
      <c r="D128" s="663">
        <f>IF(F127+SUM(E$99:E127)=D$92,F127,D$92-SUM(E$99:E127))</f>
        <v>501516.17999999993</v>
      </c>
      <c r="E128" s="69">
        <f t="shared" si="16"/>
        <v>35823</v>
      </c>
      <c r="F128" s="664">
        <f t="shared" si="17"/>
        <v>465693.17999999993</v>
      </c>
      <c r="G128" s="664">
        <f t="shared" si="18"/>
        <v>483604.67999999993</v>
      </c>
      <c r="H128" s="130">
        <f t="shared" si="12"/>
        <v>87961.023029017349</v>
      </c>
      <c r="I128" s="139">
        <f t="shared" si="13"/>
        <v>87961.023029017349</v>
      </c>
      <c r="J128" s="669">
        <f t="shared" si="14"/>
        <v>0</v>
      </c>
      <c r="K128" s="669"/>
      <c r="L128" s="132"/>
      <c r="M128" s="669">
        <f t="shared" si="9"/>
        <v>0</v>
      </c>
      <c r="N128" s="132"/>
      <c r="O128" s="669">
        <f t="shared" si="10"/>
        <v>0</v>
      </c>
      <c r="P128" s="669">
        <f t="shared" si="11"/>
        <v>0</v>
      </c>
    </row>
    <row r="129" spans="2:16">
      <c r="B129" s="9" t="str">
        <f t="shared" si="15"/>
        <v/>
      </c>
      <c r="C129" s="662">
        <f>IF(D93="","-",+C128+1)</f>
        <v>2052</v>
      </c>
      <c r="D129" s="663">
        <f>IF(F128+SUM(E$99:E128)=D$92,F128,D$92-SUM(E$99:E128))</f>
        <v>465693.17999999993</v>
      </c>
      <c r="E129" s="69">
        <f t="shared" si="16"/>
        <v>35823</v>
      </c>
      <c r="F129" s="664">
        <f t="shared" si="17"/>
        <v>429870.17999999993</v>
      </c>
      <c r="G129" s="664">
        <f t="shared" si="18"/>
        <v>447781.67999999993</v>
      </c>
      <c r="H129" s="130">
        <f t="shared" si="12"/>
        <v>84098.90077046417</v>
      </c>
      <c r="I129" s="139">
        <f t="shared" si="13"/>
        <v>84098.90077046417</v>
      </c>
      <c r="J129" s="669">
        <f t="shared" si="14"/>
        <v>0</v>
      </c>
      <c r="K129" s="669"/>
      <c r="L129" s="132"/>
      <c r="M129" s="669">
        <f t="shared" si="9"/>
        <v>0</v>
      </c>
      <c r="N129" s="132"/>
      <c r="O129" s="669">
        <f t="shared" si="10"/>
        <v>0</v>
      </c>
      <c r="P129" s="669">
        <f t="shared" si="11"/>
        <v>0</v>
      </c>
    </row>
    <row r="130" spans="2:16">
      <c r="B130" s="9" t="str">
        <f t="shared" si="15"/>
        <v/>
      </c>
      <c r="C130" s="662">
        <f>IF(D93="","-",+C129+1)</f>
        <v>2053</v>
      </c>
      <c r="D130" s="663">
        <f>IF(F129+SUM(E$99:E129)=D$92,F129,D$92-SUM(E$99:E129))</f>
        <v>429870.17999999993</v>
      </c>
      <c r="E130" s="69">
        <f t="shared" si="16"/>
        <v>35823</v>
      </c>
      <c r="F130" s="664">
        <f t="shared" si="17"/>
        <v>394047.17999999993</v>
      </c>
      <c r="G130" s="664">
        <f t="shared" si="18"/>
        <v>411958.67999999993</v>
      </c>
      <c r="H130" s="130">
        <f t="shared" si="12"/>
        <v>80236.77851191099</v>
      </c>
      <c r="I130" s="139">
        <f t="shared" si="13"/>
        <v>80236.77851191099</v>
      </c>
      <c r="J130" s="669">
        <f t="shared" si="14"/>
        <v>0</v>
      </c>
      <c r="K130" s="669"/>
      <c r="L130" s="132"/>
      <c r="M130" s="669">
        <f t="shared" si="9"/>
        <v>0</v>
      </c>
      <c r="N130" s="132"/>
      <c r="O130" s="669">
        <f t="shared" si="10"/>
        <v>0</v>
      </c>
      <c r="P130" s="669">
        <f t="shared" si="11"/>
        <v>0</v>
      </c>
    </row>
    <row r="131" spans="2:16">
      <c r="B131" s="9" t="str">
        <f t="shared" si="15"/>
        <v/>
      </c>
      <c r="C131" s="662">
        <f>IF(D93="","-",+C130+1)</f>
        <v>2054</v>
      </c>
      <c r="D131" s="663">
        <f>IF(F130+SUM(E$99:E130)=D$92,F130,D$92-SUM(E$99:E130))</f>
        <v>394047.17999999993</v>
      </c>
      <c r="E131" s="69">
        <f t="shared" si="16"/>
        <v>35823</v>
      </c>
      <c r="F131" s="664">
        <f t="shared" si="17"/>
        <v>358224.17999999993</v>
      </c>
      <c r="G131" s="664">
        <f t="shared" si="18"/>
        <v>376135.67999999993</v>
      </c>
      <c r="H131" s="130">
        <f t="shared" si="12"/>
        <v>76374.656253357796</v>
      </c>
      <c r="I131" s="139">
        <f t="shared" si="13"/>
        <v>76374.656253357796</v>
      </c>
      <c r="J131" s="669">
        <f t="shared" ref="J131:J154" si="19">+I541-H541</f>
        <v>0</v>
      </c>
      <c r="K131" s="669"/>
      <c r="L131" s="132"/>
      <c r="M131" s="669">
        <f t="shared" ref="M131:M154" si="20">IF(L541&lt;&gt;0,+H541-L541,0)</f>
        <v>0</v>
      </c>
      <c r="N131" s="132"/>
      <c r="O131" s="669">
        <f t="shared" ref="O131:O154" si="21">IF(N541&lt;&gt;0,+I541-N541,0)</f>
        <v>0</v>
      </c>
      <c r="P131" s="669">
        <f t="shared" ref="P131:P154" si="22">+O541-M541</f>
        <v>0</v>
      </c>
    </row>
    <row r="132" spans="2:16">
      <c r="B132" s="9" t="str">
        <f t="shared" si="15"/>
        <v/>
      </c>
      <c r="C132" s="662">
        <f>IF(D93="","-",+C131+1)</f>
        <v>2055</v>
      </c>
      <c r="D132" s="663">
        <f>IF(F131+SUM(E$99:E131)=D$92,F131,D$92-SUM(E$99:E131))</f>
        <v>358224.17999999993</v>
      </c>
      <c r="E132" s="69">
        <f t="shared" si="16"/>
        <v>35823</v>
      </c>
      <c r="F132" s="664">
        <f t="shared" si="17"/>
        <v>322401.17999999993</v>
      </c>
      <c r="G132" s="664">
        <f t="shared" si="18"/>
        <v>340312.67999999993</v>
      </c>
      <c r="H132" s="130">
        <f t="shared" si="12"/>
        <v>72512.533994804631</v>
      </c>
      <c r="I132" s="139">
        <f t="shared" si="13"/>
        <v>72512.533994804631</v>
      </c>
      <c r="J132" s="669">
        <f t="shared" si="19"/>
        <v>0</v>
      </c>
      <c r="K132" s="669"/>
      <c r="L132" s="132"/>
      <c r="M132" s="669">
        <f t="shared" si="20"/>
        <v>0</v>
      </c>
      <c r="N132" s="132"/>
      <c r="O132" s="669">
        <f t="shared" si="21"/>
        <v>0</v>
      </c>
      <c r="P132" s="669">
        <f t="shared" si="22"/>
        <v>0</v>
      </c>
    </row>
    <row r="133" spans="2:16">
      <c r="B133" s="9" t="str">
        <f t="shared" si="15"/>
        <v/>
      </c>
      <c r="C133" s="662">
        <f>IF(D93="","-",+C132+1)</f>
        <v>2056</v>
      </c>
      <c r="D133" s="663">
        <f>IF(F132+SUM(E$99:E132)=D$92,F132,D$92-SUM(E$99:E132))</f>
        <v>322401.17999999993</v>
      </c>
      <c r="E133" s="69">
        <f t="shared" si="16"/>
        <v>35823</v>
      </c>
      <c r="F133" s="664">
        <f t="shared" si="17"/>
        <v>286578.17999999993</v>
      </c>
      <c r="G133" s="664">
        <f t="shared" si="18"/>
        <v>304489.67999999993</v>
      </c>
      <c r="H133" s="130">
        <f t="shared" si="12"/>
        <v>68650.411736251437</v>
      </c>
      <c r="I133" s="139">
        <f t="shared" si="13"/>
        <v>68650.411736251437</v>
      </c>
      <c r="J133" s="669">
        <f t="shared" si="19"/>
        <v>0</v>
      </c>
      <c r="K133" s="669"/>
      <c r="L133" s="132"/>
      <c r="M133" s="669">
        <f t="shared" si="20"/>
        <v>0</v>
      </c>
      <c r="N133" s="132"/>
      <c r="O133" s="669">
        <f t="shared" si="21"/>
        <v>0</v>
      </c>
      <c r="P133" s="669">
        <f t="shared" si="22"/>
        <v>0</v>
      </c>
    </row>
    <row r="134" spans="2:16">
      <c r="B134" s="9" t="str">
        <f t="shared" si="15"/>
        <v/>
      </c>
      <c r="C134" s="662">
        <f>IF(D93="","-",+C133+1)</f>
        <v>2057</v>
      </c>
      <c r="D134" s="663">
        <f>IF(F133+SUM(E$99:E133)=D$92,F133,D$92-SUM(E$99:E133))</f>
        <v>286578.17999999993</v>
      </c>
      <c r="E134" s="69">
        <f t="shared" si="16"/>
        <v>35823</v>
      </c>
      <c r="F134" s="664">
        <f t="shared" si="17"/>
        <v>250755.17999999993</v>
      </c>
      <c r="G134" s="664">
        <f t="shared" si="18"/>
        <v>268666.67999999993</v>
      </c>
      <c r="H134" s="130">
        <f t="shared" si="12"/>
        <v>64788.289477698258</v>
      </c>
      <c r="I134" s="139">
        <f t="shared" si="13"/>
        <v>64788.289477698258</v>
      </c>
      <c r="J134" s="669">
        <f t="shared" si="19"/>
        <v>0</v>
      </c>
      <c r="K134" s="669"/>
      <c r="L134" s="132"/>
      <c r="M134" s="669">
        <f t="shared" si="20"/>
        <v>0</v>
      </c>
      <c r="N134" s="132"/>
      <c r="O134" s="669">
        <f t="shared" si="21"/>
        <v>0</v>
      </c>
      <c r="P134" s="669">
        <f t="shared" si="22"/>
        <v>0</v>
      </c>
    </row>
    <row r="135" spans="2:16">
      <c r="B135" s="9" t="str">
        <f t="shared" si="15"/>
        <v/>
      </c>
      <c r="C135" s="662">
        <f>IF(D93="","-",+C134+1)</f>
        <v>2058</v>
      </c>
      <c r="D135" s="663">
        <f>IF(F134+SUM(E$99:E134)=D$92,F134,D$92-SUM(E$99:E134))</f>
        <v>250755.17999999993</v>
      </c>
      <c r="E135" s="69">
        <f t="shared" si="16"/>
        <v>35823</v>
      </c>
      <c r="F135" s="664">
        <f t="shared" si="17"/>
        <v>214932.17999999993</v>
      </c>
      <c r="G135" s="664">
        <f t="shared" si="18"/>
        <v>232843.67999999993</v>
      </c>
      <c r="H135" s="130">
        <f t="shared" si="12"/>
        <v>60926.167219145078</v>
      </c>
      <c r="I135" s="139">
        <f t="shared" si="13"/>
        <v>60926.167219145078</v>
      </c>
      <c r="J135" s="669">
        <f t="shared" si="19"/>
        <v>0</v>
      </c>
      <c r="K135" s="669"/>
      <c r="L135" s="132"/>
      <c r="M135" s="669">
        <f t="shared" si="20"/>
        <v>0</v>
      </c>
      <c r="N135" s="132"/>
      <c r="O135" s="669">
        <f t="shared" si="21"/>
        <v>0</v>
      </c>
      <c r="P135" s="669">
        <f t="shared" si="22"/>
        <v>0</v>
      </c>
    </row>
    <row r="136" spans="2:16">
      <c r="B136" s="9" t="str">
        <f t="shared" si="15"/>
        <v/>
      </c>
      <c r="C136" s="662">
        <f>IF(D93="","-",+C135+1)</f>
        <v>2059</v>
      </c>
      <c r="D136" s="663">
        <f>IF(F135+SUM(E$99:E135)=D$92,F135,D$92-SUM(E$99:E135))</f>
        <v>214932.17999999993</v>
      </c>
      <c r="E136" s="69">
        <f t="shared" si="16"/>
        <v>35823</v>
      </c>
      <c r="F136" s="664">
        <f t="shared" si="17"/>
        <v>179109.17999999993</v>
      </c>
      <c r="G136" s="664">
        <f t="shared" si="18"/>
        <v>197020.67999999993</v>
      </c>
      <c r="H136" s="130">
        <f t="shared" si="12"/>
        <v>57064.044960591898</v>
      </c>
      <c r="I136" s="139">
        <f t="shared" si="13"/>
        <v>57064.044960591898</v>
      </c>
      <c r="J136" s="669">
        <f t="shared" si="19"/>
        <v>0</v>
      </c>
      <c r="K136" s="669"/>
      <c r="L136" s="132"/>
      <c r="M136" s="669">
        <f t="shared" si="20"/>
        <v>0</v>
      </c>
      <c r="N136" s="132"/>
      <c r="O136" s="669">
        <f t="shared" si="21"/>
        <v>0</v>
      </c>
      <c r="P136" s="669">
        <f t="shared" si="22"/>
        <v>0</v>
      </c>
    </row>
    <row r="137" spans="2:16">
      <c r="B137" s="9" t="str">
        <f t="shared" si="15"/>
        <v/>
      </c>
      <c r="C137" s="662">
        <f>IF(D93="","-",+C136+1)</f>
        <v>2060</v>
      </c>
      <c r="D137" s="663">
        <f>IF(F136+SUM(E$99:E136)=D$92,F136,D$92-SUM(E$99:E136))</f>
        <v>179109.17999999993</v>
      </c>
      <c r="E137" s="69">
        <f t="shared" si="16"/>
        <v>35823</v>
      </c>
      <c r="F137" s="664">
        <f t="shared" si="17"/>
        <v>143286.17999999993</v>
      </c>
      <c r="G137" s="664">
        <f t="shared" si="18"/>
        <v>161197.67999999993</v>
      </c>
      <c r="H137" s="130">
        <f t="shared" si="12"/>
        <v>53201.922702038719</v>
      </c>
      <c r="I137" s="139">
        <f t="shared" si="13"/>
        <v>53201.922702038719</v>
      </c>
      <c r="J137" s="669">
        <f t="shared" si="19"/>
        <v>0</v>
      </c>
      <c r="K137" s="669"/>
      <c r="L137" s="132"/>
      <c r="M137" s="669">
        <f t="shared" si="20"/>
        <v>0</v>
      </c>
      <c r="N137" s="132"/>
      <c r="O137" s="669">
        <f t="shared" si="21"/>
        <v>0</v>
      </c>
      <c r="P137" s="669">
        <f t="shared" si="22"/>
        <v>0</v>
      </c>
    </row>
    <row r="138" spans="2:16">
      <c r="B138" s="9" t="str">
        <f t="shared" si="15"/>
        <v/>
      </c>
      <c r="C138" s="662">
        <f>IF(D93="","-",+C137+1)</f>
        <v>2061</v>
      </c>
      <c r="D138" s="663">
        <f>IF(F137+SUM(E$99:E137)=D$92,F137,D$92-SUM(E$99:E137))</f>
        <v>143286.17999999993</v>
      </c>
      <c r="E138" s="69">
        <f t="shared" si="16"/>
        <v>35823</v>
      </c>
      <c r="F138" s="664">
        <f t="shared" si="17"/>
        <v>107463.17999999993</v>
      </c>
      <c r="G138" s="664">
        <f t="shared" si="18"/>
        <v>125374.67999999993</v>
      </c>
      <c r="H138" s="130">
        <f t="shared" si="12"/>
        <v>49339.800443485532</v>
      </c>
      <c r="I138" s="139">
        <f t="shared" si="13"/>
        <v>49339.800443485532</v>
      </c>
      <c r="J138" s="669">
        <f t="shared" si="19"/>
        <v>0</v>
      </c>
      <c r="K138" s="669"/>
      <c r="L138" s="132"/>
      <c r="M138" s="669">
        <f t="shared" si="20"/>
        <v>0</v>
      </c>
      <c r="N138" s="132"/>
      <c r="O138" s="669">
        <f t="shared" si="21"/>
        <v>0</v>
      </c>
      <c r="P138" s="669">
        <f t="shared" si="22"/>
        <v>0</v>
      </c>
    </row>
    <row r="139" spans="2:16">
      <c r="B139" s="9" t="str">
        <f t="shared" si="15"/>
        <v/>
      </c>
      <c r="C139" s="662">
        <f>IF(D93="","-",+C138+1)</f>
        <v>2062</v>
      </c>
      <c r="D139" s="663">
        <f>IF(F138+SUM(E$99:E138)=D$92,F138,D$92-SUM(E$99:E138))</f>
        <v>107463.17999999993</v>
      </c>
      <c r="E139" s="69">
        <f t="shared" si="16"/>
        <v>35823</v>
      </c>
      <c r="F139" s="664">
        <f t="shared" si="17"/>
        <v>71640.179999999935</v>
      </c>
      <c r="G139" s="664">
        <f t="shared" si="18"/>
        <v>89551.679999999935</v>
      </c>
      <c r="H139" s="130">
        <f t="shared" si="12"/>
        <v>45477.678184932345</v>
      </c>
      <c r="I139" s="139">
        <f t="shared" si="13"/>
        <v>45477.678184932345</v>
      </c>
      <c r="J139" s="669">
        <f t="shared" si="19"/>
        <v>0</v>
      </c>
      <c r="K139" s="669"/>
      <c r="L139" s="132"/>
      <c r="M139" s="669">
        <f t="shared" si="20"/>
        <v>0</v>
      </c>
      <c r="N139" s="132"/>
      <c r="O139" s="669">
        <f t="shared" si="21"/>
        <v>0</v>
      </c>
      <c r="P139" s="669">
        <f t="shared" si="22"/>
        <v>0</v>
      </c>
    </row>
    <row r="140" spans="2:16">
      <c r="B140" s="9" t="str">
        <f t="shared" si="15"/>
        <v/>
      </c>
      <c r="C140" s="662">
        <f>IF(D93="","-",+C139+1)</f>
        <v>2063</v>
      </c>
      <c r="D140" s="663">
        <f>IF(F139+SUM(E$99:E139)=D$92,F139,D$92-SUM(E$99:E139))</f>
        <v>71640.179999999935</v>
      </c>
      <c r="E140" s="69">
        <f t="shared" si="16"/>
        <v>35823</v>
      </c>
      <c r="F140" s="664">
        <f t="shared" si="17"/>
        <v>35817.179999999935</v>
      </c>
      <c r="G140" s="664">
        <f t="shared" si="18"/>
        <v>53728.679999999935</v>
      </c>
      <c r="H140" s="130">
        <f t="shared" si="12"/>
        <v>41615.555926379166</v>
      </c>
      <c r="I140" s="139">
        <f t="shared" si="13"/>
        <v>41615.555926379166</v>
      </c>
      <c r="J140" s="669">
        <f t="shared" si="19"/>
        <v>0</v>
      </c>
      <c r="K140" s="669"/>
      <c r="L140" s="132"/>
      <c r="M140" s="669">
        <f t="shared" si="20"/>
        <v>0</v>
      </c>
      <c r="N140" s="132"/>
      <c r="O140" s="669">
        <f t="shared" si="21"/>
        <v>0</v>
      </c>
      <c r="P140" s="669">
        <f t="shared" si="22"/>
        <v>0</v>
      </c>
    </row>
    <row r="141" spans="2:16">
      <c r="B141" s="9" t="str">
        <f t="shared" si="15"/>
        <v/>
      </c>
      <c r="C141" s="662">
        <f>IF(D93="","-",+C140+1)</f>
        <v>2064</v>
      </c>
      <c r="D141" s="663">
        <f>IF(F140+SUM(E$99:E140)=D$92,F140,D$92-SUM(E$99:E140))</f>
        <v>35817.179999999935</v>
      </c>
      <c r="E141" s="69">
        <f t="shared" si="16"/>
        <v>35817.179999999935</v>
      </c>
      <c r="F141" s="664">
        <f t="shared" si="17"/>
        <v>0</v>
      </c>
      <c r="G141" s="664">
        <f t="shared" si="18"/>
        <v>17908.589999999967</v>
      </c>
      <c r="H141" s="130">
        <f t="shared" si="12"/>
        <v>37747.927398551226</v>
      </c>
      <c r="I141" s="139">
        <f t="shared" si="13"/>
        <v>37747.927398551226</v>
      </c>
      <c r="J141" s="669">
        <f t="shared" si="19"/>
        <v>0</v>
      </c>
      <c r="K141" s="669"/>
      <c r="L141" s="132"/>
      <c r="M141" s="669">
        <f t="shared" si="20"/>
        <v>0</v>
      </c>
      <c r="N141" s="132"/>
      <c r="O141" s="669">
        <f t="shared" si="21"/>
        <v>0</v>
      </c>
      <c r="P141" s="669">
        <f t="shared" si="22"/>
        <v>0</v>
      </c>
    </row>
    <row r="142" spans="2:16">
      <c r="B142" s="9" t="str">
        <f t="shared" si="15"/>
        <v/>
      </c>
      <c r="C142" s="662">
        <f>IF(D93="","-",+C141+1)</f>
        <v>2065</v>
      </c>
      <c r="D142" s="663">
        <f>IF(F141+SUM(E$99:E141)=D$92,F141,D$92-SUM(E$99:E141))</f>
        <v>0</v>
      </c>
      <c r="E142" s="69">
        <f t="shared" si="16"/>
        <v>0</v>
      </c>
      <c r="F142" s="664">
        <f t="shared" si="17"/>
        <v>0</v>
      </c>
      <c r="G142" s="664">
        <f t="shared" si="18"/>
        <v>0</v>
      </c>
      <c r="H142" s="130">
        <f t="shared" si="12"/>
        <v>0</v>
      </c>
      <c r="I142" s="139">
        <f t="shared" si="13"/>
        <v>0</v>
      </c>
      <c r="J142" s="669">
        <f t="shared" si="19"/>
        <v>0</v>
      </c>
      <c r="K142" s="669"/>
      <c r="L142" s="132"/>
      <c r="M142" s="669">
        <f t="shared" si="20"/>
        <v>0</v>
      </c>
      <c r="N142" s="132"/>
      <c r="O142" s="669">
        <f t="shared" si="21"/>
        <v>0</v>
      </c>
      <c r="P142" s="669">
        <f t="shared" si="22"/>
        <v>0</v>
      </c>
    </row>
    <row r="143" spans="2:16">
      <c r="B143" s="9" t="str">
        <f t="shared" si="15"/>
        <v/>
      </c>
      <c r="C143" s="662">
        <f>IF(D93="","-",+C142+1)</f>
        <v>2066</v>
      </c>
      <c r="D143" s="663">
        <f>IF(F142+SUM(E$99:E142)=D$92,F142,D$92-SUM(E$99:E142))</f>
        <v>0</v>
      </c>
      <c r="E143" s="69">
        <f t="shared" si="16"/>
        <v>0</v>
      </c>
      <c r="F143" s="664">
        <f t="shared" si="17"/>
        <v>0</v>
      </c>
      <c r="G143" s="664">
        <f t="shared" si="18"/>
        <v>0</v>
      </c>
      <c r="H143" s="130">
        <f t="shared" si="12"/>
        <v>0</v>
      </c>
      <c r="I143" s="139">
        <f t="shared" si="13"/>
        <v>0</v>
      </c>
      <c r="J143" s="669">
        <f t="shared" si="19"/>
        <v>0</v>
      </c>
      <c r="K143" s="669"/>
      <c r="L143" s="132"/>
      <c r="M143" s="669">
        <f t="shared" si="20"/>
        <v>0</v>
      </c>
      <c r="N143" s="132"/>
      <c r="O143" s="669">
        <f t="shared" si="21"/>
        <v>0</v>
      </c>
      <c r="P143" s="669">
        <f t="shared" si="22"/>
        <v>0</v>
      </c>
    </row>
    <row r="144" spans="2:16">
      <c r="B144" s="9" t="str">
        <f t="shared" si="15"/>
        <v/>
      </c>
      <c r="C144" s="662">
        <f>IF(D93="","-",+C143+1)</f>
        <v>2067</v>
      </c>
      <c r="D144" s="663">
        <f>IF(F143+SUM(E$99:E143)=D$92,F143,D$92-SUM(E$99:E143))</f>
        <v>0</v>
      </c>
      <c r="E144" s="69">
        <f t="shared" si="16"/>
        <v>0</v>
      </c>
      <c r="F144" s="664">
        <f t="shared" si="17"/>
        <v>0</v>
      </c>
      <c r="G144" s="664">
        <f t="shared" si="18"/>
        <v>0</v>
      </c>
      <c r="H144" s="130">
        <f t="shared" si="12"/>
        <v>0</v>
      </c>
      <c r="I144" s="139">
        <f t="shared" si="13"/>
        <v>0</v>
      </c>
      <c r="J144" s="669">
        <f t="shared" si="19"/>
        <v>0</v>
      </c>
      <c r="K144" s="669"/>
      <c r="L144" s="132"/>
      <c r="M144" s="669">
        <f t="shared" si="20"/>
        <v>0</v>
      </c>
      <c r="N144" s="132"/>
      <c r="O144" s="669">
        <f t="shared" si="21"/>
        <v>0</v>
      </c>
      <c r="P144" s="669">
        <f t="shared" si="22"/>
        <v>0</v>
      </c>
    </row>
    <row r="145" spans="2:16">
      <c r="B145" s="9" t="str">
        <f t="shared" si="15"/>
        <v/>
      </c>
      <c r="C145" s="662">
        <f>IF(D93="","-",+C144+1)</f>
        <v>2068</v>
      </c>
      <c r="D145" s="663">
        <f>IF(F144+SUM(E$99:E144)=D$92,F144,D$92-SUM(E$99:E144))</f>
        <v>0</v>
      </c>
      <c r="E145" s="69">
        <f t="shared" si="16"/>
        <v>0</v>
      </c>
      <c r="F145" s="664">
        <f t="shared" si="17"/>
        <v>0</v>
      </c>
      <c r="G145" s="664">
        <f t="shared" si="18"/>
        <v>0</v>
      </c>
      <c r="H145" s="130">
        <f t="shared" si="12"/>
        <v>0</v>
      </c>
      <c r="I145" s="139">
        <f t="shared" si="13"/>
        <v>0</v>
      </c>
      <c r="J145" s="669">
        <f t="shared" si="19"/>
        <v>0</v>
      </c>
      <c r="K145" s="669"/>
      <c r="L145" s="132"/>
      <c r="M145" s="669">
        <f t="shared" si="20"/>
        <v>0</v>
      </c>
      <c r="N145" s="132"/>
      <c r="O145" s="669">
        <f t="shared" si="21"/>
        <v>0</v>
      </c>
      <c r="P145" s="669">
        <f t="shared" si="22"/>
        <v>0</v>
      </c>
    </row>
    <row r="146" spans="2:16">
      <c r="B146" s="9" t="str">
        <f t="shared" si="15"/>
        <v/>
      </c>
      <c r="C146" s="662">
        <f>IF(D93="","-",+C145+1)</f>
        <v>2069</v>
      </c>
      <c r="D146" s="663">
        <f>IF(F145+SUM(E$99:E145)=D$92,F145,D$92-SUM(E$99:E145))</f>
        <v>0</v>
      </c>
      <c r="E146" s="69">
        <f t="shared" si="16"/>
        <v>0</v>
      </c>
      <c r="F146" s="664">
        <f t="shared" si="17"/>
        <v>0</v>
      </c>
      <c r="G146" s="664">
        <f t="shared" si="18"/>
        <v>0</v>
      </c>
      <c r="H146" s="130">
        <f t="shared" si="12"/>
        <v>0</v>
      </c>
      <c r="I146" s="139">
        <f t="shared" si="13"/>
        <v>0</v>
      </c>
      <c r="J146" s="669">
        <f t="shared" si="19"/>
        <v>0</v>
      </c>
      <c r="K146" s="669"/>
      <c r="L146" s="132"/>
      <c r="M146" s="669">
        <f t="shared" si="20"/>
        <v>0</v>
      </c>
      <c r="N146" s="132"/>
      <c r="O146" s="669">
        <f t="shared" si="21"/>
        <v>0</v>
      </c>
      <c r="P146" s="669">
        <f t="shared" si="22"/>
        <v>0</v>
      </c>
    </row>
    <row r="147" spans="2:16">
      <c r="B147" s="9" t="str">
        <f t="shared" si="15"/>
        <v/>
      </c>
      <c r="C147" s="662">
        <f>IF(D93="","-",+C146+1)</f>
        <v>2070</v>
      </c>
      <c r="D147" s="663">
        <f>IF(F146+SUM(E$99:E146)=D$92,F146,D$92-SUM(E$99:E146))</f>
        <v>0</v>
      </c>
      <c r="E147" s="69">
        <f t="shared" si="16"/>
        <v>0</v>
      </c>
      <c r="F147" s="664">
        <f t="shared" si="17"/>
        <v>0</v>
      </c>
      <c r="G147" s="664">
        <f t="shared" si="18"/>
        <v>0</v>
      </c>
      <c r="H147" s="130">
        <f t="shared" si="12"/>
        <v>0</v>
      </c>
      <c r="I147" s="139">
        <f t="shared" si="13"/>
        <v>0</v>
      </c>
      <c r="J147" s="669">
        <f t="shared" si="19"/>
        <v>0</v>
      </c>
      <c r="K147" s="669"/>
      <c r="L147" s="132"/>
      <c r="M147" s="669">
        <f t="shared" si="20"/>
        <v>0</v>
      </c>
      <c r="N147" s="132"/>
      <c r="O147" s="669">
        <f t="shared" si="21"/>
        <v>0</v>
      </c>
      <c r="P147" s="669">
        <f t="shared" si="22"/>
        <v>0</v>
      </c>
    </row>
    <row r="148" spans="2:16">
      <c r="B148" s="9" t="str">
        <f t="shared" si="15"/>
        <v/>
      </c>
      <c r="C148" s="662">
        <f>IF(D93="","-",+C147+1)</f>
        <v>2071</v>
      </c>
      <c r="D148" s="663">
        <f>IF(F147+SUM(E$99:E147)=D$92,F147,D$92-SUM(E$99:E147))</f>
        <v>0</v>
      </c>
      <c r="E148" s="69">
        <f t="shared" si="16"/>
        <v>0</v>
      </c>
      <c r="F148" s="664">
        <f t="shared" si="17"/>
        <v>0</v>
      </c>
      <c r="G148" s="664">
        <f t="shared" si="18"/>
        <v>0</v>
      </c>
      <c r="H148" s="130">
        <f t="shared" si="12"/>
        <v>0</v>
      </c>
      <c r="I148" s="139">
        <f t="shared" si="13"/>
        <v>0</v>
      </c>
      <c r="J148" s="669">
        <f t="shared" si="19"/>
        <v>0</v>
      </c>
      <c r="K148" s="669"/>
      <c r="L148" s="132"/>
      <c r="M148" s="669">
        <f t="shared" si="20"/>
        <v>0</v>
      </c>
      <c r="N148" s="132"/>
      <c r="O148" s="669">
        <f t="shared" si="21"/>
        <v>0</v>
      </c>
      <c r="P148" s="669">
        <f t="shared" si="22"/>
        <v>0</v>
      </c>
    </row>
    <row r="149" spans="2:16">
      <c r="B149" s="9" t="str">
        <f t="shared" si="15"/>
        <v/>
      </c>
      <c r="C149" s="662">
        <f>IF(D93="","-",+C148+1)</f>
        <v>2072</v>
      </c>
      <c r="D149" s="663">
        <f>IF(F148+SUM(E$99:E148)=D$92,F148,D$92-SUM(E$99:E148))</f>
        <v>0</v>
      </c>
      <c r="E149" s="69">
        <f t="shared" si="16"/>
        <v>0</v>
      </c>
      <c r="F149" s="664">
        <f t="shared" si="17"/>
        <v>0</v>
      </c>
      <c r="G149" s="664">
        <f t="shared" si="18"/>
        <v>0</v>
      </c>
      <c r="H149" s="130">
        <f t="shared" si="12"/>
        <v>0</v>
      </c>
      <c r="I149" s="139">
        <f t="shared" si="13"/>
        <v>0</v>
      </c>
      <c r="J149" s="669">
        <f t="shared" si="19"/>
        <v>0</v>
      </c>
      <c r="K149" s="669"/>
      <c r="L149" s="132"/>
      <c r="M149" s="669">
        <f t="shared" si="20"/>
        <v>0</v>
      </c>
      <c r="N149" s="132"/>
      <c r="O149" s="669">
        <f t="shared" si="21"/>
        <v>0</v>
      </c>
      <c r="P149" s="669">
        <f t="shared" si="22"/>
        <v>0</v>
      </c>
    </row>
    <row r="150" spans="2:16">
      <c r="B150" s="9" t="str">
        <f t="shared" si="15"/>
        <v/>
      </c>
      <c r="C150" s="662">
        <f>IF(D93="","-",+C149+1)</f>
        <v>2073</v>
      </c>
      <c r="D150" s="663">
        <f>IF(F149+SUM(E$99:E149)=D$92,F149,D$92-SUM(E$99:E149))</f>
        <v>0</v>
      </c>
      <c r="E150" s="69">
        <f t="shared" si="16"/>
        <v>0</v>
      </c>
      <c r="F150" s="664">
        <f t="shared" si="17"/>
        <v>0</v>
      </c>
      <c r="G150" s="664">
        <f t="shared" si="18"/>
        <v>0</v>
      </c>
      <c r="H150" s="130">
        <f t="shared" si="12"/>
        <v>0</v>
      </c>
      <c r="I150" s="139">
        <f t="shared" si="13"/>
        <v>0</v>
      </c>
      <c r="J150" s="669">
        <f t="shared" si="19"/>
        <v>0</v>
      </c>
      <c r="K150" s="669"/>
      <c r="L150" s="132"/>
      <c r="M150" s="669">
        <f t="shared" si="20"/>
        <v>0</v>
      </c>
      <c r="N150" s="132"/>
      <c r="O150" s="669">
        <f t="shared" si="21"/>
        <v>0</v>
      </c>
      <c r="P150" s="669">
        <f t="shared" si="22"/>
        <v>0</v>
      </c>
    </row>
    <row r="151" spans="2:16">
      <c r="B151" s="9" t="str">
        <f t="shared" si="15"/>
        <v/>
      </c>
      <c r="C151" s="662">
        <f>IF(D93="","-",+C150+1)</f>
        <v>2074</v>
      </c>
      <c r="D151" s="663">
        <f>IF(F150+SUM(E$99:E150)=D$92,F150,D$92-SUM(E$99:E150))</f>
        <v>0</v>
      </c>
      <c r="E151" s="69">
        <f t="shared" si="16"/>
        <v>0</v>
      </c>
      <c r="F151" s="664">
        <f t="shared" si="17"/>
        <v>0</v>
      </c>
      <c r="G151" s="664">
        <f t="shared" si="18"/>
        <v>0</v>
      </c>
      <c r="H151" s="130">
        <f t="shared" si="12"/>
        <v>0</v>
      </c>
      <c r="I151" s="139">
        <f t="shared" si="13"/>
        <v>0</v>
      </c>
      <c r="J151" s="669">
        <f t="shared" si="19"/>
        <v>0</v>
      </c>
      <c r="K151" s="669"/>
      <c r="L151" s="132"/>
      <c r="M151" s="669">
        <f t="shared" si="20"/>
        <v>0</v>
      </c>
      <c r="N151" s="132"/>
      <c r="O151" s="669">
        <f t="shared" si="21"/>
        <v>0</v>
      </c>
      <c r="P151" s="669">
        <f t="shared" si="22"/>
        <v>0</v>
      </c>
    </row>
    <row r="152" spans="2:16">
      <c r="B152" s="9" t="str">
        <f t="shared" si="15"/>
        <v/>
      </c>
      <c r="C152" s="662">
        <f>IF(D93="","-",+C151+1)</f>
        <v>2075</v>
      </c>
      <c r="D152" s="663">
        <f>IF(F151+SUM(E$99:E151)=D$92,F151,D$92-SUM(E$99:E151))</f>
        <v>0</v>
      </c>
      <c r="E152" s="69">
        <f t="shared" si="16"/>
        <v>0</v>
      </c>
      <c r="F152" s="664">
        <f t="shared" si="17"/>
        <v>0</v>
      </c>
      <c r="G152" s="664">
        <f t="shared" si="18"/>
        <v>0</v>
      </c>
      <c r="H152" s="130">
        <f t="shared" si="12"/>
        <v>0</v>
      </c>
      <c r="I152" s="139">
        <f t="shared" si="13"/>
        <v>0</v>
      </c>
      <c r="J152" s="669">
        <f t="shared" si="19"/>
        <v>0</v>
      </c>
      <c r="K152" s="669"/>
      <c r="L152" s="132"/>
      <c r="M152" s="669">
        <f t="shared" si="20"/>
        <v>0</v>
      </c>
      <c r="N152" s="132"/>
      <c r="O152" s="669">
        <f t="shared" si="21"/>
        <v>0</v>
      </c>
      <c r="P152" s="669">
        <f t="shared" si="22"/>
        <v>0</v>
      </c>
    </row>
    <row r="153" spans="2:16">
      <c r="B153" s="9" t="str">
        <f t="shared" si="15"/>
        <v/>
      </c>
      <c r="C153" s="662">
        <f>IF(D93="","-",+C152+1)</f>
        <v>2076</v>
      </c>
      <c r="D153" s="663">
        <f>IF(F152+SUM(E$99:E152)=D$92,F152,D$92-SUM(E$99:E152))</f>
        <v>0</v>
      </c>
      <c r="E153" s="69">
        <f t="shared" si="16"/>
        <v>0</v>
      </c>
      <c r="F153" s="664">
        <f t="shared" si="17"/>
        <v>0</v>
      </c>
      <c r="G153" s="664">
        <f t="shared" si="18"/>
        <v>0</v>
      </c>
      <c r="H153" s="130">
        <f t="shared" si="12"/>
        <v>0</v>
      </c>
      <c r="I153" s="139">
        <f t="shared" si="13"/>
        <v>0</v>
      </c>
      <c r="J153" s="669">
        <f t="shared" si="19"/>
        <v>0</v>
      </c>
      <c r="K153" s="669"/>
      <c r="L153" s="132"/>
      <c r="M153" s="669">
        <f t="shared" si="20"/>
        <v>0</v>
      </c>
      <c r="N153" s="132"/>
      <c r="O153" s="669">
        <f t="shared" si="21"/>
        <v>0</v>
      </c>
      <c r="P153" s="669">
        <f t="shared" si="22"/>
        <v>0</v>
      </c>
    </row>
    <row r="154" spans="2:16" ht="13.5" thickBot="1">
      <c r="B154" s="9" t="str">
        <f t="shared" si="15"/>
        <v/>
      </c>
      <c r="C154" s="671">
        <f>IF(D93="","-",+C153+1)</f>
        <v>2077</v>
      </c>
      <c r="D154" s="697">
        <f>IF(F153+SUM(E$99:E153)=D$92,F153,D$92-SUM(E$99:E153))</f>
        <v>0</v>
      </c>
      <c r="E154" s="74">
        <f t="shared" si="16"/>
        <v>0</v>
      </c>
      <c r="F154" s="672">
        <f t="shared" si="17"/>
        <v>0</v>
      </c>
      <c r="G154" s="672">
        <f t="shared" si="18"/>
        <v>0</v>
      </c>
      <c r="H154" s="140">
        <f t="shared" si="12"/>
        <v>0</v>
      </c>
      <c r="I154" s="141">
        <f t="shared" si="13"/>
        <v>0</v>
      </c>
      <c r="J154" s="675">
        <f t="shared" si="19"/>
        <v>0</v>
      </c>
      <c r="K154" s="669"/>
      <c r="L154" s="133"/>
      <c r="M154" s="675">
        <f t="shared" si="20"/>
        <v>0</v>
      </c>
      <c r="N154" s="133"/>
      <c r="O154" s="675">
        <f t="shared" si="21"/>
        <v>0</v>
      </c>
      <c r="P154" s="675">
        <f t="shared" si="22"/>
        <v>0</v>
      </c>
    </row>
    <row r="155" spans="2:16">
      <c r="C155" s="663" t="s">
        <v>77</v>
      </c>
      <c r="D155" s="642"/>
      <c r="E155" s="642">
        <f>SUM(E99:E154)</f>
        <v>1504560.18</v>
      </c>
      <c r="F155" s="642"/>
      <c r="G155" s="642"/>
      <c r="H155" s="642">
        <f>SUM(H99:H154)</f>
        <v>4992030.2260925975</v>
      </c>
      <c r="I155" s="642">
        <f>SUM(I99:I154)</f>
        <v>4992030.2260925975</v>
      </c>
      <c r="J155" s="642">
        <f>SUM(J99:J154)</f>
        <v>0</v>
      </c>
      <c r="K155" s="642"/>
      <c r="L155" s="642"/>
      <c r="M155" s="642"/>
      <c r="N155" s="642"/>
      <c r="O155" s="642"/>
      <c r="P155" s="635"/>
    </row>
    <row r="156" spans="2:16">
      <c r="C156" t="s">
        <v>100</v>
      </c>
      <c r="D156" s="636"/>
      <c r="E156" s="635"/>
      <c r="F156" s="635"/>
      <c r="G156" s="635"/>
      <c r="H156" s="635"/>
      <c r="I156" s="638"/>
      <c r="J156" s="638"/>
      <c r="K156" s="642"/>
      <c r="L156" s="638"/>
      <c r="M156" s="638"/>
      <c r="N156" s="638"/>
      <c r="O156" s="638"/>
      <c r="P156" s="635"/>
    </row>
    <row r="157" spans="2:16">
      <c r="C157" s="99"/>
      <c r="D157" s="636"/>
      <c r="E157" s="635"/>
      <c r="F157" s="635"/>
      <c r="G157" s="635"/>
      <c r="H157" s="635"/>
      <c r="I157" s="638"/>
      <c r="J157" s="638"/>
      <c r="K157" s="642"/>
      <c r="L157" s="638"/>
      <c r="M157" s="638"/>
      <c r="N157" s="638"/>
      <c r="O157" s="638"/>
      <c r="P157" s="635"/>
    </row>
    <row r="158" spans="2:16">
      <c r="C158" s="115" t="s">
        <v>148</v>
      </c>
      <c r="D158" s="636"/>
      <c r="E158" s="635"/>
      <c r="F158" s="635"/>
      <c r="G158" s="635"/>
      <c r="H158" s="635"/>
      <c r="I158" s="638"/>
      <c r="J158" s="638"/>
      <c r="K158" s="642"/>
      <c r="L158" s="638"/>
      <c r="M158" s="638"/>
      <c r="N158" s="638"/>
      <c r="O158" s="638"/>
      <c r="P158" s="635"/>
    </row>
    <row r="159" spans="2:16">
      <c r="C159" s="645" t="s">
        <v>78</v>
      </c>
      <c r="D159" s="663"/>
      <c r="E159" s="663"/>
      <c r="F159" s="663"/>
      <c r="G159" s="663"/>
      <c r="H159" s="642"/>
      <c r="I159" s="642"/>
      <c r="J159" s="676"/>
      <c r="K159" s="676"/>
      <c r="L159" s="676"/>
      <c r="M159" s="676"/>
      <c r="N159" s="676"/>
      <c r="O159" s="676"/>
      <c r="P159" s="635"/>
    </row>
    <row r="160" spans="2:16">
      <c r="C160" s="698" t="s">
        <v>79</v>
      </c>
      <c r="D160" s="663"/>
      <c r="E160" s="663"/>
      <c r="F160" s="663"/>
      <c r="G160" s="663"/>
      <c r="H160" s="642"/>
      <c r="I160" s="642"/>
      <c r="J160" s="676"/>
      <c r="K160" s="676"/>
      <c r="L160" s="676"/>
      <c r="M160" s="676"/>
      <c r="N160" s="676"/>
      <c r="O160" s="676"/>
      <c r="P160" s="635"/>
    </row>
    <row r="161" spans="3:16">
      <c r="C161" s="698"/>
      <c r="D161" s="663"/>
      <c r="E161" s="663"/>
      <c r="F161" s="663"/>
      <c r="G161" s="663"/>
      <c r="H161" s="642"/>
      <c r="I161" s="642"/>
      <c r="J161" s="676"/>
      <c r="K161" s="676"/>
      <c r="L161" s="676"/>
      <c r="M161" s="676"/>
      <c r="N161" s="676"/>
      <c r="O161" s="676"/>
      <c r="P161" s="635"/>
    </row>
    <row r="162" spans="3:16" ht="18">
      <c r="C162" s="698"/>
      <c r="D162" s="663"/>
      <c r="E162" s="663"/>
      <c r="F162" s="663"/>
      <c r="G162" s="663"/>
      <c r="H162" s="642"/>
      <c r="I162" s="642"/>
      <c r="J162" s="676"/>
      <c r="K162" s="676"/>
      <c r="L162" s="676"/>
      <c r="M162" s="676"/>
      <c r="N162" s="676"/>
      <c r="P162" s="699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4A11-00CC-4B7E-A7D5-813C3E523491}">
  <dimension ref="A1:P162"/>
  <sheetViews>
    <sheetView zoomScale="80" zoomScaleNormal="80" workbookViewId="0">
      <selection activeCell="D92" sqref="D92"/>
    </sheetView>
  </sheetViews>
  <sheetFormatPr defaultColWidth="8.7109375" defaultRowHeight="12.75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635"/>
      <c r="C1" s="635"/>
      <c r="D1" s="636"/>
      <c r="E1" s="635"/>
      <c r="F1" s="637"/>
      <c r="G1" s="635"/>
      <c r="H1" s="638"/>
      <c r="K1" s="19"/>
      <c r="L1" s="19"/>
      <c r="M1" s="19"/>
      <c r="P1" s="639" t="s">
        <v>366</v>
      </c>
    </row>
    <row r="2" spans="1:16" ht="18">
      <c r="B2" s="635"/>
      <c r="C2" s="635"/>
      <c r="D2" s="636"/>
      <c r="E2" s="635"/>
      <c r="F2" s="635"/>
      <c r="G2" s="635"/>
      <c r="H2" s="638"/>
      <c r="I2" s="635"/>
      <c r="J2" s="635"/>
      <c r="K2" s="635"/>
      <c r="L2" s="635"/>
      <c r="M2" s="635"/>
      <c r="N2" s="635"/>
      <c r="P2" s="117" t="s">
        <v>150</v>
      </c>
    </row>
    <row r="3" spans="1:16" ht="18.75">
      <c r="B3" s="640" t="s">
        <v>42</v>
      </c>
      <c r="C3" s="641" t="s">
        <v>43</v>
      </c>
      <c r="D3" s="636"/>
      <c r="E3" s="635"/>
      <c r="F3" s="635"/>
      <c r="G3" s="635"/>
      <c r="H3" s="638"/>
      <c r="I3" s="638"/>
      <c r="J3" s="642"/>
      <c r="K3" s="638"/>
      <c r="L3" s="638"/>
      <c r="M3" s="638"/>
      <c r="N3" s="638"/>
      <c r="O3" s="635"/>
      <c r="P3" s="108">
        <v>1</v>
      </c>
    </row>
    <row r="4" spans="1:16" ht="15.75" thickBot="1">
      <c r="C4" s="643"/>
      <c r="D4" s="636"/>
      <c r="E4" s="635"/>
      <c r="F4" s="635"/>
      <c r="G4" s="635"/>
      <c r="H4" s="638"/>
      <c r="I4" s="638"/>
      <c r="J4" s="642"/>
      <c r="K4" s="638"/>
      <c r="L4" s="638"/>
      <c r="M4" s="638"/>
      <c r="N4" s="638"/>
      <c r="O4" s="635"/>
      <c r="P4" s="635"/>
    </row>
    <row r="5" spans="1:16" ht="15">
      <c r="C5" s="21" t="s">
        <v>44</v>
      </c>
      <c r="D5" s="636"/>
      <c r="E5" s="635"/>
      <c r="F5" s="635"/>
      <c r="G5" s="421"/>
      <c r="H5" s="635" t="s">
        <v>45</v>
      </c>
      <c r="I5" s="635"/>
      <c r="J5" s="635"/>
      <c r="K5" s="23" t="s">
        <v>281</v>
      </c>
      <c r="L5" s="24"/>
      <c r="M5" s="644"/>
      <c r="N5" s="425">
        <f>VLOOKUP(I10,C17:I72,5)</f>
        <v>3024.2132561392209</v>
      </c>
      <c r="P5" s="635"/>
    </row>
    <row r="6" spans="1:16" ht="15.75">
      <c r="C6" s="8"/>
      <c r="D6" s="636"/>
      <c r="E6" s="635"/>
      <c r="F6" s="635"/>
      <c r="G6" s="635"/>
      <c r="H6" s="426"/>
      <c r="I6" s="426"/>
      <c r="J6" s="427"/>
      <c r="K6" s="29" t="s">
        <v>282</v>
      </c>
      <c r="L6" s="429"/>
      <c r="M6" s="635"/>
      <c r="N6" s="430">
        <f>VLOOKUP(I10,C17:I72,6)</f>
        <v>3024.2132561392209</v>
      </c>
      <c r="O6" s="635"/>
      <c r="P6" s="635"/>
    </row>
    <row r="7" spans="1:16" ht="13.5" thickBot="1">
      <c r="C7" s="645" t="s">
        <v>46</v>
      </c>
      <c r="D7" s="617" t="s">
        <v>343</v>
      </c>
      <c r="E7" s="635"/>
      <c r="F7" s="635"/>
      <c r="G7" s="635"/>
      <c r="H7" s="638"/>
      <c r="I7" s="638"/>
      <c r="J7" s="642"/>
      <c r="K7" s="433" t="s">
        <v>47</v>
      </c>
      <c r="L7" s="646"/>
      <c r="M7" s="646"/>
      <c r="N7" s="647">
        <f>+N6-N5</f>
        <v>0</v>
      </c>
      <c r="O7" s="635"/>
      <c r="P7" s="635"/>
    </row>
    <row r="8" spans="1:16" ht="13.5" thickBot="1">
      <c r="C8" s="648"/>
      <c r="D8" s="9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35"/>
    </row>
    <row r="9" spans="1:16" ht="13.5" thickBot="1">
      <c r="C9" s="650" t="s">
        <v>48</v>
      </c>
      <c r="D9" s="106" t="s">
        <v>344</v>
      </c>
      <c r="E9" s="651" t="s">
        <v>345</v>
      </c>
      <c r="F9" s="652"/>
      <c r="G9" s="652"/>
      <c r="H9" s="652"/>
      <c r="I9" s="653"/>
      <c r="J9" s="654"/>
      <c r="P9" s="635"/>
    </row>
    <row r="10" spans="1:16">
      <c r="C10" s="655" t="s">
        <v>226</v>
      </c>
      <c r="D10" s="447">
        <v>70968</v>
      </c>
      <c r="E10" s="635" t="s">
        <v>51</v>
      </c>
      <c r="G10" s="636"/>
      <c r="H10" s="636"/>
      <c r="I10" s="656">
        <v>2022</v>
      </c>
      <c r="J10" s="654"/>
      <c r="K10" s="642" t="s">
        <v>52</v>
      </c>
      <c r="O10" s="635"/>
      <c r="P10" s="635"/>
    </row>
    <row r="11" spans="1:16">
      <c r="C11" s="657" t="s">
        <v>53</v>
      </c>
      <c r="D11" s="47">
        <v>2022</v>
      </c>
      <c r="E11" s="657" t="s">
        <v>54</v>
      </c>
      <c r="F11" s="636"/>
      <c r="I11" s="658">
        <v>0</v>
      </c>
      <c r="J11" s="65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635"/>
      <c r="P11" s="635"/>
    </row>
    <row r="12" spans="1:16">
      <c r="C12" s="657" t="s">
        <v>55</v>
      </c>
      <c r="D12" s="447">
        <v>6</v>
      </c>
      <c r="E12" s="657" t="s">
        <v>56</v>
      </c>
      <c r="F12" s="636"/>
      <c r="I12" s="660">
        <v>0.10781124580725182</v>
      </c>
      <c r="J12" s="637"/>
      <c r="K12" t="s">
        <v>57</v>
      </c>
      <c r="O12" s="635"/>
      <c r="P12" s="635"/>
    </row>
    <row r="13" spans="1:16">
      <c r="C13" s="657" t="s">
        <v>58</v>
      </c>
      <c r="D13" s="658">
        <v>42</v>
      </c>
      <c r="E13" s="657" t="s">
        <v>59</v>
      </c>
      <c r="F13" s="636"/>
      <c r="I13" s="660">
        <v>0.10781124580725182</v>
      </c>
      <c r="J13" s="637"/>
      <c r="K13" s="642" t="s">
        <v>60</v>
      </c>
      <c r="L13" s="637"/>
      <c r="M13" s="637"/>
      <c r="N13" s="637"/>
      <c r="O13" s="635"/>
      <c r="P13" s="635"/>
    </row>
    <row r="14" spans="1:16" ht="13.5" thickBot="1">
      <c r="C14" s="657" t="s">
        <v>61</v>
      </c>
      <c r="D14" s="47" t="s">
        <v>62</v>
      </c>
      <c r="E14" s="635" t="s">
        <v>63</v>
      </c>
      <c r="F14" s="636"/>
      <c r="I14" s="661">
        <f>IF(D10=0,0,D10/D13)</f>
        <v>1689.7142857142858</v>
      </c>
      <c r="J14" s="642"/>
      <c r="K14" s="642"/>
      <c r="L14" s="642"/>
      <c r="M14" s="642"/>
      <c r="N14" s="642"/>
      <c r="O14" s="635"/>
      <c r="P14" s="635"/>
    </row>
    <row r="15" spans="1:16" ht="38.25">
      <c r="C15" s="53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53" t="s">
        <v>67</v>
      </c>
      <c r="J15" s="55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635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465" t="s">
        <v>73</v>
      </c>
      <c r="H16" s="466" t="s">
        <v>74</v>
      </c>
      <c r="I16" s="57" t="s">
        <v>104</v>
      </c>
      <c r="J16" s="55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635"/>
    </row>
    <row r="17" spans="2:16">
      <c r="B17" s="9"/>
      <c r="C17" s="662">
        <f>IF(D11= "","-",D11)</f>
        <v>2022</v>
      </c>
      <c r="D17" s="621">
        <v>0</v>
      </c>
      <c r="E17" s="622">
        <v>0</v>
      </c>
      <c r="F17" s="623">
        <v>56102</v>
      </c>
      <c r="G17" s="622">
        <v>3024.2132561392209</v>
      </c>
      <c r="H17" s="624">
        <v>3024.2132561392209</v>
      </c>
      <c r="I17" s="666">
        <f>H17-G17</f>
        <v>0</v>
      </c>
      <c r="J17" s="666"/>
      <c r="K17" s="667">
        <f>+G17</f>
        <v>3024.2132561392209</v>
      </c>
      <c r="L17" s="668">
        <f t="shared" ref="L17:L72" si="0">IF(K17&lt;&gt;0,+G17-K17,0)</f>
        <v>0</v>
      </c>
      <c r="M17" s="667">
        <f>+H17</f>
        <v>3024.2132561392209</v>
      </c>
      <c r="N17" s="668">
        <f t="shared" ref="N17:N72" si="1">IF(M17&lt;&gt;0,+H17-M17,0)</f>
        <v>0</v>
      </c>
      <c r="O17" s="669">
        <f t="shared" ref="O17:O72" si="2">+N17-L17</f>
        <v>0</v>
      </c>
      <c r="P17" s="635"/>
    </row>
    <row r="18" spans="2:16">
      <c r="B18" s="9" t="str">
        <f>IF(D18=F17,"","IU")</f>
        <v>IU</v>
      </c>
      <c r="C18" s="662">
        <f>IF(D11="","-",+C17+1)</f>
        <v>2023</v>
      </c>
      <c r="D18" s="664">
        <f>IF(F17+SUM(E$17:E17)=D$10,F17,D$10-SUM(E$17:E17))</f>
        <v>70968</v>
      </c>
      <c r="E18" s="69">
        <f>IF(+I$14&lt;F17,I$14,D18)</f>
        <v>1689.7142857142858</v>
      </c>
      <c r="F18" s="664">
        <f>+D18-E18</f>
        <v>69278.28571428571</v>
      </c>
      <c r="G18" s="670">
        <f>(D18+F18)/2*I$12+E18</f>
        <v>9249.7776770627497</v>
      </c>
      <c r="H18" s="665">
        <f>+(D18+F18)/2*I$13+E18</f>
        <v>9249.7776770627497</v>
      </c>
      <c r="I18" s="666">
        <f>H18-G18</f>
        <v>0</v>
      </c>
      <c r="J18" s="666"/>
      <c r="K18" s="132"/>
      <c r="L18" s="669">
        <f t="shared" si="0"/>
        <v>0</v>
      </c>
      <c r="M18" s="132"/>
      <c r="N18" s="669">
        <f t="shared" si="1"/>
        <v>0</v>
      </c>
      <c r="O18" s="669">
        <f t="shared" si="2"/>
        <v>0</v>
      </c>
      <c r="P18" s="635"/>
    </row>
    <row r="19" spans="2:16">
      <c r="B19" s="9" t="str">
        <f>IF(D19=F18,"","IU")</f>
        <v/>
      </c>
      <c r="C19" s="662">
        <f>IF(D11="","-",+C18+1)</f>
        <v>2024</v>
      </c>
      <c r="D19" s="664">
        <f>IF(F18+SUM(E$17:E18)=D$10,F18,D$10-SUM(E$17:E18))</f>
        <v>69278.28571428571</v>
      </c>
      <c r="E19" s="69">
        <f t="shared" ref="E19:E71" si="3">IF(+I$14&lt;F18,I$14,D19)</f>
        <v>1689.7142857142858</v>
      </c>
      <c r="F19" s="664">
        <f t="shared" ref="F19:F71" si="4">+D19-E19</f>
        <v>67588.57142857142</v>
      </c>
      <c r="G19" s="670">
        <f t="shared" ref="G19:G71" si="5">(D19+F19)/2*I$12+E19</f>
        <v>9067.6074748615811</v>
      </c>
      <c r="H19" s="665">
        <f t="shared" ref="H19:H71" si="6">+(D19+F19)/2*I$13+E19</f>
        <v>9067.6074748615811</v>
      </c>
      <c r="I19" s="666">
        <f t="shared" ref="I19:I71" si="7">H19-G19</f>
        <v>0</v>
      </c>
      <c r="J19" s="666"/>
      <c r="K19" s="132"/>
      <c r="L19" s="669">
        <f t="shared" si="0"/>
        <v>0</v>
      </c>
      <c r="M19" s="132"/>
      <c r="N19" s="669">
        <f t="shared" si="1"/>
        <v>0</v>
      </c>
      <c r="O19" s="669">
        <f t="shared" si="2"/>
        <v>0</v>
      </c>
      <c r="P19" s="635"/>
    </row>
    <row r="20" spans="2:16">
      <c r="B20" s="9" t="str">
        <f t="shared" ref="B20:B72" si="8">IF(D20=F19,"","IU")</f>
        <v/>
      </c>
      <c r="C20" s="662">
        <f>IF(D11="","-",+C19+1)</f>
        <v>2025</v>
      </c>
      <c r="D20" s="664">
        <f>IF(F19+SUM(E$17:E19)=D$10,F19,D$10-SUM(E$17:E19))</f>
        <v>67588.57142857142</v>
      </c>
      <c r="E20" s="69">
        <f t="shared" si="3"/>
        <v>1689.7142857142858</v>
      </c>
      <c r="F20" s="664">
        <f t="shared" si="4"/>
        <v>65898.85714285713</v>
      </c>
      <c r="G20" s="670">
        <f t="shared" si="5"/>
        <v>8885.4372726604124</v>
      </c>
      <c r="H20" s="665">
        <f t="shared" si="6"/>
        <v>8885.4372726604124</v>
      </c>
      <c r="I20" s="666">
        <f t="shared" si="7"/>
        <v>0</v>
      </c>
      <c r="J20" s="666"/>
      <c r="K20" s="132"/>
      <c r="L20" s="669">
        <f t="shared" si="0"/>
        <v>0</v>
      </c>
      <c r="M20" s="132"/>
      <c r="N20" s="669">
        <f t="shared" si="1"/>
        <v>0</v>
      </c>
      <c r="O20" s="669">
        <f t="shared" si="2"/>
        <v>0</v>
      </c>
      <c r="P20" s="635"/>
    </row>
    <row r="21" spans="2:16">
      <c r="B21" s="9" t="str">
        <f t="shared" si="8"/>
        <v/>
      </c>
      <c r="C21" s="662">
        <f>IF(D11="","-",+C20+1)</f>
        <v>2026</v>
      </c>
      <c r="D21" s="664">
        <f>IF(F20+SUM(E$17:E20)=D$10,F20,D$10-SUM(E$17:E20))</f>
        <v>65898.85714285713</v>
      </c>
      <c r="E21" s="484">
        <f t="shared" si="3"/>
        <v>1689.7142857142858</v>
      </c>
      <c r="F21" s="664">
        <f t="shared" si="4"/>
        <v>64209.142857142848</v>
      </c>
      <c r="G21" s="700">
        <f t="shared" si="5"/>
        <v>8703.2670704592438</v>
      </c>
      <c r="H21" s="661">
        <f t="shared" si="6"/>
        <v>8703.2670704592438</v>
      </c>
      <c r="I21" s="666">
        <f t="shared" si="7"/>
        <v>0</v>
      </c>
      <c r="J21" s="666"/>
      <c r="K21" s="132"/>
      <c r="L21" s="669">
        <f t="shared" si="0"/>
        <v>0</v>
      </c>
      <c r="M21" s="132"/>
      <c r="N21" s="669">
        <f t="shared" si="1"/>
        <v>0</v>
      </c>
      <c r="O21" s="669">
        <f t="shared" si="2"/>
        <v>0</v>
      </c>
      <c r="P21" s="635"/>
    </row>
    <row r="22" spans="2:16">
      <c r="B22" s="9" t="str">
        <f t="shared" si="8"/>
        <v/>
      </c>
      <c r="C22" s="662">
        <f>IF(D11="","-",+C21+1)</f>
        <v>2027</v>
      </c>
      <c r="D22" s="664">
        <f>IF(F21+SUM(E$17:E21)=D$10,F21,D$10-SUM(E$17:E21))</f>
        <v>64209.142857142848</v>
      </c>
      <c r="E22" s="484">
        <f t="shared" si="3"/>
        <v>1689.7142857142858</v>
      </c>
      <c r="F22" s="664">
        <f t="shared" si="4"/>
        <v>62519.428571428565</v>
      </c>
      <c r="G22" s="700">
        <f t="shared" si="5"/>
        <v>8521.0968682580769</v>
      </c>
      <c r="H22" s="661">
        <f t="shared" si="6"/>
        <v>8521.0968682580769</v>
      </c>
      <c r="I22" s="666">
        <f t="shared" si="7"/>
        <v>0</v>
      </c>
      <c r="J22" s="666"/>
      <c r="K22" s="132"/>
      <c r="L22" s="669">
        <f t="shared" si="0"/>
        <v>0</v>
      </c>
      <c r="M22" s="132"/>
      <c r="N22" s="669">
        <f t="shared" si="1"/>
        <v>0</v>
      </c>
      <c r="O22" s="669">
        <f t="shared" si="2"/>
        <v>0</v>
      </c>
      <c r="P22" s="635"/>
    </row>
    <row r="23" spans="2:16">
      <c r="B23" s="9" t="str">
        <f t="shared" si="8"/>
        <v/>
      </c>
      <c r="C23" s="662">
        <f>IF(D11="","-",+C22+1)</f>
        <v>2028</v>
      </c>
      <c r="D23" s="664">
        <f>IF(F22+SUM(E$17:E22)=D$10,F22,D$10-SUM(E$17:E22))</f>
        <v>62519.428571428565</v>
      </c>
      <c r="E23" s="484">
        <f t="shared" si="3"/>
        <v>1689.7142857142858</v>
      </c>
      <c r="F23" s="664">
        <f t="shared" si="4"/>
        <v>60829.714285714283</v>
      </c>
      <c r="G23" s="700">
        <f t="shared" si="5"/>
        <v>8338.9266660569101</v>
      </c>
      <c r="H23" s="661">
        <f t="shared" si="6"/>
        <v>8338.9266660569101</v>
      </c>
      <c r="I23" s="666">
        <f t="shared" si="7"/>
        <v>0</v>
      </c>
      <c r="J23" s="666"/>
      <c r="K23" s="132"/>
      <c r="L23" s="669">
        <f t="shared" si="0"/>
        <v>0</v>
      </c>
      <c r="M23" s="132"/>
      <c r="N23" s="669">
        <f t="shared" si="1"/>
        <v>0</v>
      </c>
      <c r="O23" s="669">
        <f t="shared" si="2"/>
        <v>0</v>
      </c>
      <c r="P23" s="635"/>
    </row>
    <row r="24" spans="2:16">
      <c r="B24" s="9" t="str">
        <f t="shared" si="8"/>
        <v/>
      </c>
      <c r="C24" s="662">
        <f>IF(D11="","-",+C23+1)</f>
        <v>2029</v>
      </c>
      <c r="D24" s="664">
        <f>IF(F23+SUM(E$17:E23)=D$10,F23,D$10-SUM(E$17:E23))</f>
        <v>60829.714285714283</v>
      </c>
      <c r="E24" s="484">
        <f t="shared" si="3"/>
        <v>1689.7142857142858</v>
      </c>
      <c r="F24" s="664">
        <f t="shared" si="4"/>
        <v>59140</v>
      </c>
      <c r="G24" s="700">
        <f t="shared" si="5"/>
        <v>8156.7564638557433</v>
      </c>
      <c r="H24" s="661">
        <f t="shared" si="6"/>
        <v>8156.7564638557433</v>
      </c>
      <c r="I24" s="666">
        <f t="shared" si="7"/>
        <v>0</v>
      </c>
      <c r="J24" s="666"/>
      <c r="K24" s="132"/>
      <c r="L24" s="669">
        <f t="shared" si="0"/>
        <v>0</v>
      </c>
      <c r="M24" s="132"/>
      <c r="N24" s="669">
        <f t="shared" si="1"/>
        <v>0</v>
      </c>
      <c r="O24" s="669">
        <f t="shared" si="2"/>
        <v>0</v>
      </c>
      <c r="P24" s="635"/>
    </row>
    <row r="25" spans="2:16">
      <c r="B25" s="9" t="str">
        <f t="shared" si="8"/>
        <v/>
      </c>
      <c r="C25" s="662">
        <f>IF(D11="","-",+C24+1)</f>
        <v>2030</v>
      </c>
      <c r="D25" s="664">
        <f>IF(F24+SUM(E$17:E24)=D$10,F24,D$10-SUM(E$17:E24))</f>
        <v>59140</v>
      </c>
      <c r="E25" s="484">
        <f t="shared" si="3"/>
        <v>1689.7142857142858</v>
      </c>
      <c r="F25" s="664">
        <f t="shared" si="4"/>
        <v>57450.285714285717</v>
      </c>
      <c r="G25" s="700">
        <f t="shared" si="5"/>
        <v>7974.5862616545746</v>
      </c>
      <c r="H25" s="661">
        <f t="shared" si="6"/>
        <v>7974.5862616545746</v>
      </c>
      <c r="I25" s="666">
        <f t="shared" si="7"/>
        <v>0</v>
      </c>
      <c r="J25" s="666"/>
      <c r="K25" s="132"/>
      <c r="L25" s="669">
        <f t="shared" si="0"/>
        <v>0</v>
      </c>
      <c r="M25" s="132"/>
      <c r="N25" s="669">
        <f t="shared" si="1"/>
        <v>0</v>
      </c>
      <c r="O25" s="669">
        <f t="shared" si="2"/>
        <v>0</v>
      </c>
      <c r="P25" s="635"/>
    </row>
    <row r="26" spans="2:16">
      <c r="B26" s="9" t="str">
        <f t="shared" si="8"/>
        <v/>
      </c>
      <c r="C26" s="662">
        <f>IF(D11="","-",+C25+1)</f>
        <v>2031</v>
      </c>
      <c r="D26" s="664">
        <f>IF(F25+SUM(E$17:E25)=D$10,F25,D$10-SUM(E$17:E25))</f>
        <v>57450.285714285717</v>
      </c>
      <c r="E26" s="484">
        <f t="shared" si="3"/>
        <v>1689.7142857142858</v>
      </c>
      <c r="F26" s="664">
        <f t="shared" si="4"/>
        <v>55760.571428571435</v>
      </c>
      <c r="G26" s="700">
        <f t="shared" si="5"/>
        <v>7792.4160594534078</v>
      </c>
      <c r="H26" s="661">
        <f t="shared" si="6"/>
        <v>7792.4160594534078</v>
      </c>
      <c r="I26" s="666">
        <f t="shared" si="7"/>
        <v>0</v>
      </c>
      <c r="J26" s="666"/>
      <c r="K26" s="132"/>
      <c r="L26" s="669">
        <f t="shared" si="0"/>
        <v>0</v>
      </c>
      <c r="M26" s="132"/>
      <c r="N26" s="669">
        <f t="shared" si="1"/>
        <v>0</v>
      </c>
      <c r="O26" s="669">
        <f t="shared" si="2"/>
        <v>0</v>
      </c>
      <c r="P26" s="635"/>
    </row>
    <row r="27" spans="2:16">
      <c r="B27" s="9" t="str">
        <f t="shared" si="8"/>
        <v/>
      </c>
      <c r="C27" s="662">
        <f>IF(D11="","-",+C26+1)</f>
        <v>2032</v>
      </c>
      <c r="D27" s="664">
        <f>IF(F26+SUM(E$17:E26)=D$10,F26,D$10-SUM(E$17:E26))</f>
        <v>55760.571428571435</v>
      </c>
      <c r="E27" s="484">
        <f t="shared" si="3"/>
        <v>1689.7142857142858</v>
      </c>
      <c r="F27" s="664">
        <f t="shared" si="4"/>
        <v>54070.857142857152</v>
      </c>
      <c r="G27" s="700">
        <f t="shared" si="5"/>
        <v>7610.2458572522391</v>
      </c>
      <c r="H27" s="661">
        <f t="shared" si="6"/>
        <v>7610.2458572522391</v>
      </c>
      <c r="I27" s="666">
        <f t="shared" si="7"/>
        <v>0</v>
      </c>
      <c r="J27" s="666"/>
      <c r="K27" s="132"/>
      <c r="L27" s="669">
        <f t="shared" si="0"/>
        <v>0</v>
      </c>
      <c r="M27" s="132"/>
      <c r="N27" s="669">
        <f t="shared" si="1"/>
        <v>0</v>
      </c>
      <c r="O27" s="669">
        <f t="shared" si="2"/>
        <v>0</v>
      </c>
      <c r="P27" s="635"/>
    </row>
    <row r="28" spans="2:16">
      <c r="B28" s="9" t="str">
        <f t="shared" si="8"/>
        <v/>
      </c>
      <c r="C28" s="662">
        <f>IF(D11="","-",+C27+1)</f>
        <v>2033</v>
      </c>
      <c r="D28" s="664">
        <f>IF(F27+SUM(E$17:E27)=D$10,F27,D$10-SUM(E$17:E27))</f>
        <v>54070.857142857152</v>
      </c>
      <c r="E28" s="484">
        <f t="shared" si="3"/>
        <v>1689.7142857142858</v>
      </c>
      <c r="F28" s="664">
        <f t="shared" si="4"/>
        <v>52381.14285714287</v>
      </c>
      <c r="G28" s="700">
        <f t="shared" si="5"/>
        <v>7428.0756550510723</v>
      </c>
      <c r="H28" s="661">
        <f t="shared" si="6"/>
        <v>7428.0756550510723</v>
      </c>
      <c r="I28" s="666">
        <f t="shared" si="7"/>
        <v>0</v>
      </c>
      <c r="J28" s="666"/>
      <c r="K28" s="132"/>
      <c r="L28" s="669">
        <f t="shared" si="0"/>
        <v>0</v>
      </c>
      <c r="M28" s="132"/>
      <c r="N28" s="669">
        <f t="shared" si="1"/>
        <v>0</v>
      </c>
      <c r="O28" s="669">
        <f t="shared" si="2"/>
        <v>0</v>
      </c>
      <c r="P28" s="635"/>
    </row>
    <row r="29" spans="2:16">
      <c r="B29" s="9" t="str">
        <f t="shared" si="8"/>
        <v/>
      </c>
      <c r="C29" s="662">
        <f>IF(D11="","-",+C28+1)</f>
        <v>2034</v>
      </c>
      <c r="D29" s="664">
        <f>IF(F28+SUM(E$17:E28)=D$10,F28,D$10-SUM(E$17:E28))</f>
        <v>52381.14285714287</v>
      </c>
      <c r="E29" s="484">
        <f t="shared" si="3"/>
        <v>1689.7142857142858</v>
      </c>
      <c r="F29" s="664">
        <f t="shared" si="4"/>
        <v>50691.428571428587</v>
      </c>
      <c r="G29" s="700">
        <f t="shared" si="5"/>
        <v>7245.9054528499037</v>
      </c>
      <c r="H29" s="661">
        <f t="shared" si="6"/>
        <v>7245.9054528499037</v>
      </c>
      <c r="I29" s="666">
        <f t="shared" si="7"/>
        <v>0</v>
      </c>
      <c r="J29" s="666"/>
      <c r="K29" s="132"/>
      <c r="L29" s="669">
        <f t="shared" si="0"/>
        <v>0</v>
      </c>
      <c r="M29" s="132"/>
      <c r="N29" s="669">
        <f t="shared" si="1"/>
        <v>0</v>
      </c>
      <c r="O29" s="669">
        <f t="shared" si="2"/>
        <v>0</v>
      </c>
      <c r="P29" s="635"/>
    </row>
    <row r="30" spans="2:16">
      <c r="B30" s="9" t="str">
        <f t="shared" si="8"/>
        <v/>
      </c>
      <c r="C30" s="662">
        <f>IF(D11="","-",+C29+1)</f>
        <v>2035</v>
      </c>
      <c r="D30" s="664">
        <f>IF(F29+SUM(E$17:E29)=D$10,F29,D$10-SUM(E$17:E29))</f>
        <v>50691.428571428587</v>
      </c>
      <c r="E30" s="484">
        <f t="shared" si="3"/>
        <v>1689.7142857142858</v>
      </c>
      <c r="F30" s="664">
        <f t="shared" si="4"/>
        <v>49001.714285714304</v>
      </c>
      <c r="G30" s="700">
        <f t="shared" si="5"/>
        <v>7063.7352506487387</v>
      </c>
      <c r="H30" s="661">
        <f t="shared" si="6"/>
        <v>7063.7352506487387</v>
      </c>
      <c r="I30" s="666">
        <f t="shared" si="7"/>
        <v>0</v>
      </c>
      <c r="J30" s="666"/>
      <c r="K30" s="132"/>
      <c r="L30" s="669">
        <f t="shared" si="0"/>
        <v>0</v>
      </c>
      <c r="M30" s="132"/>
      <c r="N30" s="669">
        <f t="shared" si="1"/>
        <v>0</v>
      </c>
      <c r="O30" s="669">
        <f t="shared" si="2"/>
        <v>0</v>
      </c>
      <c r="P30" s="635"/>
    </row>
    <row r="31" spans="2:16">
      <c r="B31" s="9" t="str">
        <f t="shared" si="8"/>
        <v/>
      </c>
      <c r="C31" s="662">
        <f>IF(D11="","-",+C30+1)</f>
        <v>2036</v>
      </c>
      <c r="D31" s="664">
        <f>IF(F30+SUM(E$17:E30)=D$10,F30,D$10-SUM(E$17:E30))</f>
        <v>49001.714285714304</v>
      </c>
      <c r="E31" s="484">
        <f t="shared" si="3"/>
        <v>1689.7142857142858</v>
      </c>
      <c r="F31" s="664">
        <f t="shared" si="4"/>
        <v>47312.000000000022</v>
      </c>
      <c r="G31" s="700">
        <f t="shared" si="5"/>
        <v>6881.56504844757</v>
      </c>
      <c r="H31" s="661">
        <f t="shared" si="6"/>
        <v>6881.56504844757</v>
      </c>
      <c r="I31" s="666">
        <f t="shared" si="7"/>
        <v>0</v>
      </c>
      <c r="J31" s="666"/>
      <c r="K31" s="132"/>
      <c r="L31" s="669">
        <f t="shared" si="0"/>
        <v>0</v>
      </c>
      <c r="M31" s="132"/>
      <c r="N31" s="669">
        <f t="shared" si="1"/>
        <v>0</v>
      </c>
      <c r="O31" s="669">
        <f t="shared" si="2"/>
        <v>0</v>
      </c>
      <c r="P31" s="635"/>
    </row>
    <row r="32" spans="2:16">
      <c r="B32" s="9" t="str">
        <f t="shared" si="8"/>
        <v/>
      </c>
      <c r="C32" s="662">
        <f>IF(D11="","-",+C31+1)</f>
        <v>2037</v>
      </c>
      <c r="D32" s="664">
        <f>IF(F31+SUM(E$17:E31)=D$10,F31,D$10-SUM(E$17:E31))</f>
        <v>47312.000000000022</v>
      </c>
      <c r="E32" s="484">
        <f t="shared" si="3"/>
        <v>1689.7142857142858</v>
      </c>
      <c r="F32" s="664">
        <f t="shared" si="4"/>
        <v>45622.285714285739</v>
      </c>
      <c r="G32" s="700">
        <f t="shared" si="5"/>
        <v>6699.3948462464032</v>
      </c>
      <c r="H32" s="661">
        <f t="shared" si="6"/>
        <v>6699.3948462464032</v>
      </c>
      <c r="I32" s="666">
        <f t="shared" si="7"/>
        <v>0</v>
      </c>
      <c r="J32" s="666"/>
      <c r="K32" s="132"/>
      <c r="L32" s="669">
        <f t="shared" si="0"/>
        <v>0</v>
      </c>
      <c r="M32" s="132"/>
      <c r="N32" s="669">
        <f t="shared" si="1"/>
        <v>0</v>
      </c>
      <c r="O32" s="669">
        <f t="shared" si="2"/>
        <v>0</v>
      </c>
      <c r="P32" s="635"/>
    </row>
    <row r="33" spans="2:16">
      <c r="B33" s="9" t="str">
        <f t="shared" si="8"/>
        <v/>
      </c>
      <c r="C33" s="662">
        <f>IF(D11="","-",+C32+1)</f>
        <v>2038</v>
      </c>
      <c r="D33" s="664">
        <f>IF(F32+SUM(E$17:E32)=D$10,F32,D$10-SUM(E$17:E32))</f>
        <v>45622.285714285739</v>
      </c>
      <c r="E33" s="484">
        <f t="shared" si="3"/>
        <v>1689.7142857142858</v>
      </c>
      <c r="F33" s="664">
        <f t="shared" si="4"/>
        <v>43932.571428571457</v>
      </c>
      <c r="G33" s="700">
        <f t="shared" si="5"/>
        <v>6517.2246440452345</v>
      </c>
      <c r="H33" s="661">
        <f t="shared" si="6"/>
        <v>6517.2246440452345</v>
      </c>
      <c r="I33" s="666">
        <f t="shared" si="7"/>
        <v>0</v>
      </c>
      <c r="J33" s="666"/>
      <c r="K33" s="132"/>
      <c r="L33" s="669">
        <f t="shared" si="0"/>
        <v>0</v>
      </c>
      <c r="M33" s="132"/>
      <c r="N33" s="669">
        <f t="shared" si="1"/>
        <v>0</v>
      </c>
      <c r="O33" s="669">
        <f t="shared" si="2"/>
        <v>0</v>
      </c>
      <c r="P33" s="635"/>
    </row>
    <row r="34" spans="2:16">
      <c r="B34" s="9" t="str">
        <f t="shared" si="8"/>
        <v/>
      </c>
      <c r="C34" s="662">
        <f>IF(D11="","-",+C33+1)</f>
        <v>2039</v>
      </c>
      <c r="D34" s="664">
        <f>IF(F33+SUM(E$17:E33)=D$10,F33,D$10-SUM(E$17:E33))</f>
        <v>43932.571428571457</v>
      </c>
      <c r="E34" s="484">
        <f t="shared" si="3"/>
        <v>1689.7142857142858</v>
      </c>
      <c r="F34" s="664">
        <f t="shared" si="4"/>
        <v>42242.857142857174</v>
      </c>
      <c r="G34" s="700">
        <f t="shared" si="5"/>
        <v>6335.0544418440677</v>
      </c>
      <c r="H34" s="661">
        <f t="shared" si="6"/>
        <v>6335.0544418440677</v>
      </c>
      <c r="I34" s="666">
        <f t="shared" si="7"/>
        <v>0</v>
      </c>
      <c r="J34" s="666"/>
      <c r="K34" s="132"/>
      <c r="L34" s="669">
        <f t="shared" si="0"/>
        <v>0</v>
      </c>
      <c r="M34" s="132"/>
      <c r="N34" s="669">
        <f t="shared" si="1"/>
        <v>0</v>
      </c>
      <c r="O34" s="669">
        <f t="shared" si="2"/>
        <v>0</v>
      </c>
      <c r="P34" s="635"/>
    </row>
    <row r="35" spans="2:16">
      <c r="B35" s="9" t="str">
        <f t="shared" si="8"/>
        <v/>
      </c>
      <c r="C35" s="662">
        <f>IF(D11="","-",+C34+1)</f>
        <v>2040</v>
      </c>
      <c r="D35" s="664">
        <f>IF(F34+SUM(E$17:E34)=D$10,F34,D$10-SUM(E$17:E34))</f>
        <v>42242.857142857174</v>
      </c>
      <c r="E35" s="484">
        <f t="shared" si="3"/>
        <v>1689.7142857142858</v>
      </c>
      <c r="F35" s="664">
        <f t="shared" si="4"/>
        <v>40553.142857142891</v>
      </c>
      <c r="G35" s="700">
        <f t="shared" si="5"/>
        <v>6152.884239642899</v>
      </c>
      <c r="H35" s="661">
        <f t="shared" si="6"/>
        <v>6152.884239642899</v>
      </c>
      <c r="I35" s="666">
        <f t="shared" si="7"/>
        <v>0</v>
      </c>
      <c r="J35" s="666"/>
      <c r="K35" s="132"/>
      <c r="L35" s="669">
        <f t="shared" si="0"/>
        <v>0</v>
      </c>
      <c r="M35" s="132"/>
      <c r="N35" s="669">
        <f t="shared" si="1"/>
        <v>0</v>
      </c>
      <c r="O35" s="669">
        <f t="shared" si="2"/>
        <v>0</v>
      </c>
      <c r="P35" s="635"/>
    </row>
    <row r="36" spans="2:16">
      <c r="B36" s="9" t="str">
        <f t="shared" si="8"/>
        <v/>
      </c>
      <c r="C36" s="662">
        <f>IF(D11="","-",+C35+1)</f>
        <v>2041</v>
      </c>
      <c r="D36" s="664">
        <f>IF(F35+SUM(E$17:E35)=D$10,F35,D$10-SUM(E$17:E35))</f>
        <v>40553.142857142891</v>
      </c>
      <c r="E36" s="484">
        <f t="shared" si="3"/>
        <v>1689.7142857142858</v>
      </c>
      <c r="F36" s="664">
        <f t="shared" si="4"/>
        <v>38863.428571428609</v>
      </c>
      <c r="G36" s="700">
        <f t="shared" si="5"/>
        <v>5970.714037441734</v>
      </c>
      <c r="H36" s="661">
        <f t="shared" si="6"/>
        <v>5970.714037441734</v>
      </c>
      <c r="I36" s="666">
        <f t="shared" si="7"/>
        <v>0</v>
      </c>
      <c r="J36" s="666"/>
      <c r="K36" s="132"/>
      <c r="L36" s="669">
        <f t="shared" si="0"/>
        <v>0</v>
      </c>
      <c r="M36" s="132"/>
      <c r="N36" s="669">
        <f t="shared" si="1"/>
        <v>0</v>
      </c>
      <c r="O36" s="669">
        <f t="shared" si="2"/>
        <v>0</v>
      </c>
      <c r="P36" s="635"/>
    </row>
    <row r="37" spans="2:16">
      <c r="B37" s="9" t="str">
        <f t="shared" si="8"/>
        <v/>
      </c>
      <c r="C37" s="662">
        <f>IF(D11="","-",+C36+1)</f>
        <v>2042</v>
      </c>
      <c r="D37" s="664">
        <f>IF(F36+SUM(E$17:E36)=D$10,F36,D$10-SUM(E$17:E36))</f>
        <v>38863.428571428609</v>
      </c>
      <c r="E37" s="484">
        <f t="shared" si="3"/>
        <v>1689.7142857142858</v>
      </c>
      <c r="F37" s="664">
        <f t="shared" si="4"/>
        <v>37173.714285714326</v>
      </c>
      <c r="G37" s="700">
        <f t="shared" si="5"/>
        <v>5788.5438352405654</v>
      </c>
      <c r="H37" s="661">
        <f t="shared" si="6"/>
        <v>5788.5438352405654</v>
      </c>
      <c r="I37" s="666">
        <f t="shared" si="7"/>
        <v>0</v>
      </c>
      <c r="J37" s="666"/>
      <c r="K37" s="132"/>
      <c r="L37" s="669">
        <f t="shared" si="0"/>
        <v>0</v>
      </c>
      <c r="M37" s="132"/>
      <c r="N37" s="669">
        <f t="shared" si="1"/>
        <v>0</v>
      </c>
      <c r="O37" s="669">
        <f t="shared" si="2"/>
        <v>0</v>
      </c>
      <c r="P37" s="635"/>
    </row>
    <row r="38" spans="2:16">
      <c r="B38" s="9" t="str">
        <f t="shared" si="8"/>
        <v/>
      </c>
      <c r="C38" s="662">
        <f>IF(D11="","-",+C37+1)</f>
        <v>2043</v>
      </c>
      <c r="D38" s="664">
        <f>IF(F37+SUM(E$17:E37)=D$10,F37,D$10-SUM(E$17:E37))</f>
        <v>37173.714285714326</v>
      </c>
      <c r="E38" s="484">
        <f t="shared" si="3"/>
        <v>1689.7142857142858</v>
      </c>
      <c r="F38" s="664">
        <f t="shared" si="4"/>
        <v>35484.000000000044</v>
      </c>
      <c r="G38" s="700">
        <f t="shared" si="5"/>
        <v>5606.3736330393986</v>
      </c>
      <c r="H38" s="661">
        <f t="shared" si="6"/>
        <v>5606.3736330393986</v>
      </c>
      <c r="I38" s="666">
        <f t="shared" si="7"/>
        <v>0</v>
      </c>
      <c r="J38" s="666"/>
      <c r="K38" s="132"/>
      <c r="L38" s="669">
        <f t="shared" si="0"/>
        <v>0</v>
      </c>
      <c r="M38" s="132"/>
      <c r="N38" s="669">
        <f t="shared" si="1"/>
        <v>0</v>
      </c>
      <c r="O38" s="669">
        <f t="shared" si="2"/>
        <v>0</v>
      </c>
      <c r="P38" s="635"/>
    </row>
    <row r="39" spans="2:16">
      <c r="B39" s="9" t="str">
        <f t="shared" si="8"/>
        <v/>
      </c>
      <c r="C39" s="662">
        <f>IF(D11="","-",+C38+1)</f>
        <v>2044</v>
      </c>
      <c r="D39" s="664">
        <f>IF(F38+SUM(E$17:E38)=D$10,F38,D$10-SUM(E$17:E38))</f>
        <v>35484.000000000044</v>
      </c>
      <c r="E39" s="484">
        <f t="shared" si="3"/>
        <v>1689.7142857142858</v>
      </c>
      <c r="F39" s="664">
        <f t="shared" si="4"/>
        <v>33794.285714285761</v>
      </c>
      <c r="G39" s="700">
        <f t="shared" si="5"/>
        <v>5424.2034308382299</v>
      </c>
      <c r="H39" s="661">
        <f t="shared" si="6"/>
        <v>5424.2034308382299</v>
      </c>
      <c r="I39" s="666">
        <f t="shared" si="7"/>
        <v>0</v>
      </c>
      <c r="J39" s="666"/>
      <c r="K39" s="132"/>
      <c r="L39" s="669">
        <f t="shared" si="0"/>
        <v>0</v>
      </c>
      <c r="M39" s="132"/>
      <c r="N39" s="669">
        <f t="shared" si="1"/>
        <v>0</v>
      </c>
      <c r="O39" s="669">
        <f t="shared" si="2"/>
        <v>0</v>
      </c>
      <c r="P39" s="635"/>
    </row>
    <row r="40" spans="2:16">
      <c r="B40" s="9" t="str">
        <f t="shared" si="8"/>
        <v/>
      </c>
      <c r="C40" s="662">
        <f>IF(D11="","-",+C39+1)</f>
        <v>2045</v>
      </c>
      <c r="D40" s="664">
        <f>IF(F39+SUM(E$17:E39)=D$10,F39,D$10-SUM(E$17:E39))</f>
        <v>33794.285714285761</v>
      </c>
      <c r="E40" s="484">
        <f t="shared" si="3"/>
        <v>1689.7142857142858</v>
      </c>
      <c r="F40" s="664">
        <f t="shared" si="4"/>
        <v>32104.571428571475</v>
      </c>
      <c r="G40" s="700">
        <f t="shared" si="5"/>
        <v>5242.0332286370631</v>
      </c>
      <c r="H40" s="661">
        <f t="shared" si="6"/>
        <v>5242.0332286370631</v>
      </c>
      <c r="I40" s="666">
        <f t="shared" si="7"/>
        <v>0</v>
      </c>
      <c r="J40" s="666"/>
      <c r="K40" s="132"/>
      <c r="L40" s="669">
        <f t="shared" si="0"/>
        <v>0</v>
      </c>
      <c r="M40" s="132"/>
      <c r="N40" s="669">
        <f t="shared" si="1"/>
        <v>0</v>
      </c>
      <c r="O40" s="669">
        <f t="shared" si="2"/>
        <v>0</v>
      </c>
      <c r="P40" s="635"/>
    </row>
    <row r="41" spans="2:16">
      <c r="B41" s="9" t="str">
        <f t="shared" si="8"/>
        <v/>
      </c>
      <c r="C41" s="662">
        <f>IF(D11="","-",+C40+1)</f>
        <v>2046</v>
      </c>
      <c r="D41" s="664">
        <f>IF(F40+SUM(E$17:E40)=D$10,F40,D$10-SUM(E$17:E40))</f>
        <v>32104.571428571475</v>
      </c>
      <c r="E41" s="484">
        <f t="shared" si="3"/>
        <v>1689.7142857142858</v>
      </c>
      <c r="F41" s="664">
        <f t="shared" si="4"/>
        <v>30414.857142857189</v>
      </c>
      <c r="G41" s="700">
        <f t="shared" si="5"/>
        <v>5059.8630264358944</v>
      </c>
      <c r="H41" s="661">
        <f t="shared" si="6"/>
        <v>5059.8630264358944</v>
      </c>
      <c r="I41" s="666">
        <f t="shared" si="7"/>
        <v>0</v>
      </c>
      <c r="J41" s="666"/>
      <c r="K41" s="132"/>
      <c r="L41" s="669">
        <f t="shared" si="0"/>
        <v>0</v>
      </c>
      <c r="M41" s="132"/>
      <c r="N41" s="669">
        <f t="shared" si="1"/>
        <v>0</v>
      </c>
      <c r="O41" s="669">
        <f t="shared" si="2"/>
        <v>0</v>
      </c>
      <c r="P41" s="635"/>
    </row>
    <row r="42" spans="2:16">
      <c r="B42" s="9" t="str">
        <f t="shared" si="8"/>
        <v/>
      </c>
      <c r="C42" s="662">
        <f>IF(D11="","-",+C41+1)</f>
        <v>2047</v>
      </c>
      <c r="D42" s="664">
        <f>IF(F41+SUM(E$17:E41)=D$10,F41,D$10-SUM(E$17:E41))</f>
        <v>30414.857142857189</v>
      </c>
      <c r="E42" s="484">
        <f t="shared" si="3"/>
        <v>1689.7142857142858</v>
      </c>
      <c r="F42" s="664">
        <f t="shared" si="4"/>
        <v>28725.142857142902</v>
      </c>
      <c r="G42" s="700">
        <f t="shared" si="5"/>
        <v>4877.6928242347267</v>
      </c>
      <c r="H42" s="661">
        <f t="shared" si="6"/>
        <v>4877.6928242347267</v>
      </c>
      <c r="I42" s="666">
        <f t="shared" si="7"/>
        <v>0</v>
      </c>
      <c r="J42" s="666"/>
      <c r="K42" s="132"/>
      <c r="L42" s="669">
        <f t="shared" si="0"/>
        <v>0</v>
      </c>
      <c r="M42" s="132"/>
      <c r="N42" s="669">
        <f t="shared" si="1"/>
        <v>0</v>
      </c>
      <c r="O42" s="669">
        <f t="shared" si="2"/>
        <v>0</v>
      </c>
      <c r="P42" s="635"/>
    </row>
    <row r="43" spans="2:16">
      <c r="B43" s="9" t="str">
        <f t="shared" si="8"/>
        <v/>
      </c>
      <c r="C43" s="662">
        <f>IF(D11="","-",+C42+1)</f>
        <v>2048</v>
      </c>
      <c r="D43" s="664">
        <f>IF(F42+SUM(E$17:E42)=D$10,F42,D$10-SUM(E$17:E42))</f>
        <v>28725.142857142902</v>
      </c>
      <c r="E43" s="484">
        <f t="shared" si="3"/>
        <v>1689.7142857142858</v>
      </c>
      <c r="F43" s="664">
        <f t="shared" si="4"/>
        <v>27035.428571428616</v>
      </c>
      <c r="G43" s="700">
        <f t="shared" si="5"/>
        <v>4695.5226220335589</v>
      </c>
      <c r="H43" s="661">
        <f t="shared" si="6"/>
        <v>4695.5226220335589</v>
      </c>
      <c r="I43" s="666">
        <f t="shared" si="7"/>
        <v>0</v>
      </c>
      <c r="J43" s="666"/>
      <c r="K43" s="132"/>
      <c r="L43" s="669">
        <f t="shared" si="0"/>
        <v>0</v>
      </c>
      <c r="M43" s="132"/>
      <c r="N43" s="669">
        <f t="shared" si="1"/>
        <v>0</v>
      </c>
      <c r="O43" s="669">
        <f t="shared" si="2"/>
        <v>0</v>
      </c>
      <c r="P43" s="635"/>
    </row>
    <row r="44" spans="2:16">
      <c r="B44" s="9" t="str">
        <f t="shared" si="8"/>
        <v/>
      </c>
      <c r="C44" s="662">
        <f>IF(D11="","-",+C43+1)</f>
        <v>2049</v>
      </c>
      <c r="D44" s="664">
        <f>IF(F43+SUM(E$17:E43)=D$10,F43,D$10-SUM(E$17:E43))</f>
        <v>27035.428571428616</v>
      </c>
      <c r="E44" s="484">
        <f t="shared" si="3"/>
        <v>1689.7142857142858</v>
      </c>
      <c r="F44" s="664">
        <f t="shared" si="4"/>
        <v>25345.71428571433</v>
      </c>
      <c r="G44" s="700">
        <f t="shared" si="5"/>
        <v>4513.3524198323912</v>
      </c>
      <c r="H44" s="661">
        <f t="shared" si="6"/>
        <v>4513.3524198323912</v>
      </c>
      <c r="I44" s="666">
        <f t="shared" si="7"/>
        <v>0</v>
      </c>
      <c r="J44" s="666"/>
      <c r="K44" s="132"/>
      <c r="L44" s="669">
        <f t="shared" si="0"/>
        <v>0</v>
      </c>
      <c r="M44" s="132"/>
      <c r="N44" s="669">
        <f t="shared" si="1"/>
        <v>0</v>
      </c>
      <c r="O44" s="669">
        <f t="shared" si="2"/>
        <v>0</v>
      </c>
      <c r="P44" s="635"/>
    </row>
    <row r="45" spans="2:16">
      <c r="B45" s="9" t="str">
        <f t="shared" si="8"/>
        <v/>
      </c>
      <c r="C45" s="662">
        <f>IF(D11="","-",+C44+1)</f>
        <v>2050</v>
      </c>
      <c r="D45" s="664">
        <f>IF(F44+SUM(E$17:E44)=D$10,F44,D$10-SUM(E$17:E44))</f>
        <v>25345.71428571433</v>
      </c>
      <c r="E45" s="484">
        <f t="shared" si="3"/>
        <v>1689.7142857142858</v>
      </c>
      <c r="F45" s="664">
        <f t="shared" si="4"/>
        <v>23656.000000000044</v>
      </c>
      <c r="G45" s="700">
        <f t="shared" si="5"/>
        <v>4331.1822176312235</v>
      </c>
      <c r="H45" s="661">
        <f t="shared" si="6"/>
        <v>4331.1822176312235</v>
      </c>
      <c r="I45" s="666">
        <f t="shared" si="7"/>
        <v>0</v>
      </c>
      <c r="J45" s="666"/>
      <c r="K45" s="132"/>
      <c r="L45" s="669">
        <f t="shared" si="0"/>
        <v>0</v>
      </c>
      <c r="M45" s="132"/>
      <c r="N45" s="669">
        <f t="shared" si="1"/>
        <v>0</v>
      </c>
      <c r="O45" s="669">
        <f t="shared" si="2"/>
        <v>0</v>
      </c>
      <c r="P45" s="635"/>
    </row>
    <row r="46" spans="2:16">
      <c r="B46" s="9" t="str">
        <f t="shared" si="8"/>
        <v/>
      </c>
      <c r="C46" s="662">
        <f>IF(D11="","-",+C45+1)</f>
        <v>2051</v>
      </c>
      <c r="D46" s="664">
        <f>IF(F45+SUM(E$17:E45)=D$10,F45,D$10-SUM(E$17:E45))</f>
        <v>23656.000000000044</v>
      </c>
      <c r="E46" s="484">
        <f t="shared" si="3"/>
        <v>1689.7142857142858</v>
      </c>
      <c r="F46" s="664">
        <f t="shared" si="4"/>
        <v>21966.285714285757</v>
      </c>
      <c r="G46" s="700">
        <f t="shared" si="5"/>
        <v>4149.0120154300548</v>
      </c>
      <c r="H46" s="661">
        <f t="shared" si="6"/>
        <v>4149.0120154300548</v>
      </c>
      <c r="I46" s="666">
        <f t="shared" si="7"/>
        <v>0</v>
      </c>
      <c r="J46" s="666"/>
      <c r="K46" s="132"/>
      <c r="L46" s="669">
        <f t="shared" si="0"/>
        <v>0</v>
      </c>
      <c r="M46" s="132"/>
      <c r="N46" s="669">
        <f t="shared" si="1"/>
        <v>0</v>
      </c>
      <c r="O46" s="669">
        <f t="shared" si="2"/>
        <v>0</v>
      </c>
      <c r="P46" s="635"/>
    </row>
    <row r="47" spans="2:16">
      <c r="B47" s="9" t="str">
        <f t="shared" si="8"/>
        <v/>
      </c>
      <c r="C47" s="662">
        <f>IF(D11="","-",+C46+1)</f>
        <v>2052</v>
      </c>
      <c r="D47" s="664">
        <f>IF(F46+SUM(E$17:E46)=D$10,F46,D$10-SUM(E$17:E46))</f>
        <v>21966.285714285757</v>
      </c>
      <c r="E47" s="484">
        <f t="shared" si="3"/>
        <v>1689.7142857142858</v>
      </c>
      <c r="F47" s="664">
        <f t="shared" si="4"/>
        <v>20276.571428571471</v>
      </c>
      <c r="G47" s="700">
        <f t="shared" si="5"/>
        <v>3966.841813228888</v>
      </c>
      <c r="H47" s="661">
        <f t="shared" si="6"/>
        <v>3966.841813228888</v>
      </c>
      <c r="I47" s="666">
        <f t="shared" si="7"/>
        <v>0</v>
      </c>
      <c r="J47" s="666"/>
      <c r="K47" s="132"/>
      <c r="L47" s="669">
        <f t="shared" si="0"/>
        <v>0</v>
      </c>
      <c r="M47" s="132"/>
      <c r="N47" s="669">
        <f t="shared" si="1"/>
        <v>0</v>
      </c>
      <c r="O47" s="669">
        <f t="shared" si="2"/>
        <v>0</v>
      </c>
      <c r="P47" s="635"/>
    </row>
    <row r="48" spans="2:16">
      <c r="B48" s="9" t="str">
        <f t="shared" si="8"/>
        <v/>
      </c>
      <c r="C48" s="662">
        <f>IF(D11="","-",+C47+1)</f>
        <v>2053</v>
      </c>
      <c r="D48" s="664">
        <f>IF(F47+SUM(E$17:E47)=D$10,F47,D$10-SUM(E$17:E47))</f>
        <v>20276.571428571471</v>
      </c>
      <c r="E48" s="484">
        <f t="shared" si="3"/>
        <v>1689.7142857142858</v>
      </c>
      <c r="F48" s="664">
        <f t="shared" si="4"/>
        <v>18586.857142857185</v>
      </c>
      <c r="G48" s="700">
        <f t="shared" si="5"/>
        <v>3784.6716110277198</v>
      </c>
      <c r="H48" s="661">
        <f t="shared" si="6"/>
        <v>3784.6716110277198</v>
      </c>
      <c r="I48" s="666">
        <f t="shared" si="7"/>
        <v>0</v>
      </c>
      <c r="J48" s="666"/>
      <c r="K48" s="132"/>
      <c r="L48" s="669">
        <f t="shared" si="0"/>
        <v>0</v>
      </c>
      <c r="M48" s="132"/>
      <c r="N48" s="669">
        <f t="shared" si="1"/>
        <v>0</v>
      </c>
      <c r="O48" s="669">
        <f t="shared" si="2"/>
        <v>0</v>
      </c>
      <c r="P48" s="635"/>
    </row>
    <row r="49" spans="2:16">
      <c r="B49" s="9" t="str">
        <f t="shared" si="8"/>
        <v/>
      </c>
      <c r="C49" s="662">
        <f>IF(D11="","-",+C48+1)</f>
        <v>2054</v>
      </c>
      <c r="D49" s="664">
        <f>IF(F48+SUM(E$17:E48)=D$10,F48,D$10-SUM(E$17:E48))</f>
        <v>18586.857142857185</v>
      </c>
      <c r="E49" s="484">
        <f t="shared" si="3"/>
        <v>1689.7142857142858</v>
      </c>
      <c r="F49" s="664">
        <f t="shared" si="4"/>
        <v>16897.142857142899</v>
      </c>
      <c r="G49" s="700">
        <f t="shared" si="5"/>
        <v>3602.5014088265525</v>
      </c>
      <c r="H49" s="661">
        <f t="shared" si="6"/>
        <v>3602.5014088265525</v>
      </c>
      <c r="I49" s="666">
        <f t="shared" si="7"/>
        <v>0</v>
      </c>
      <c r="J49" s="666"/>
      <c r="K49" s="132"/>
      <c r="L49" s="669">
        <f t="shared" si="0"/>
        <v>0</v>
      </c>
      <c r="M49" s="132"/>
      <c r="N49" s="669">
        <f t="shared" si="1"/>
        <v>0</v>
      </c>
      <c r="O49" s="669">
        <f t="shared" si="2"/>
        <v>0</v>
      </c>
      <c r="P49" s="635"/>
    </row>
    <row r="50" spans="2:16">
      <c r="B50" s="9" t="str">
        <f t="shared" si="8"/>
        <v/>
      </c>
      <c r="C50" s="662">
        <f>IF(D11="","-",+C49+1)</f>
        <v>2055</v>
      </c>
      <c r="D50" s="664">
        <f>IF(F49+SUM(E$17:E49)=D$10,F49,D$10-SUM(E$17:E49))</f>
        <v>16897.142857142899</v>
      </c>
      <c r="E50" s="484">
        <f t="shared" si="3"/>
        <v>1689.7142857142858</v>
      </c>
      <c r="F50" s="664">
        <f t="shared" si="4"/>
        <v>15207.428571428612</v>
      </c>
      <c r="G50" s="700">
        <f t="shared" si="5"/>
        <v>3420.3312066253843</v>
      </c>
      <c r="H50" s="661">
        <f t="shared" si="6"/>
        <v>3420.3312066253843</v>
      </c>
      <c r="I50" s="666">
        <f t="shared" si="7"/>
        <v>0</v>
      </c>
      <c r="J50" s="666"/>
      <c r="K50" s="132"/>
      <c r="L50" s="669">
        <f t="shared" si="0"/>
        <v>0</v>
      </c>
      <c r="M50" s="132"/>
      <c r="N50" s="669">
        <f t="shared" si="1"/>
        <v>0</v>
      </c>
      <c r="O50" s="669">
        <f t="shared" si="2"/>
        <v>0</v>
      </c>
      <c r="P50" s="635"/>
    </row>
    <row r="51" spans="2:16">
      <c r="B51" s="9" t="str">
        <f t="shared" si="8"/>
        <v/>
      </c>
      <c r="C51" s="662">
        <f>IF(D11="","-",+C50+1)</f>
        <v>2056</v>
      </c>
      <c r="D51" s="664">
        <f>IF(F50+SUM(E$17:E50)=D$10,F50,D$10-SUM(E$17:E50))</f>
        <v>15207.428571428612</v>
      </c>
      <c r="E51" s="484">
        <f t="shared" si="3"/>
        <v>1689.7142857142858</v>
      </c>
      <c r="F51" s="664">
        <f t="shared" si="4"/>
        <v>13517.714285714326</v>
      </c>
      <c r="G51" s="700">
        <f t="shared" si="5"/>
        <v>3238.1610044242161</v>
      </c>
      <c r="H51" s="661">
        <f t="shared" si="6"/>
        <v>3238.1610044242161</v>
      </c>
      <c r="I51" s="666">
        <f t="shared" si="7"/>
        <v>0</v>
      </c>
      <c r="J51" s="666"/>
      <c r="K51" s="132"/>
      <c r="L51" s="669">
        <f t="shared" si="0"/>
        <v>0</v>
      </c>
      <c r="M51" s="132"/>
      <c r="N51" s="669">
        <f t="shared" si="1"/>
        <v>0</v>
      </c>
      <c r="O51" s="669">
        <f t="shared" si="2"/>
        <v>0</v>
      </c>
      <c r="P51" s="635"/>
    </row>
    <row r="52" spans="2:16">
      <c r="B52" s="9" t="str">
        <f t="shared" si="8"/>
        <v/>
      </c>
      <c r="C52" s="662">
        <f>IF(D11="","-",+C51+1)</f>
        <v>2057</v>
      </c>
      <c r="D52" s="664">
        <f>IF(F51+SUM(E$17:E51)=D$10,F51,D$10-SUM(E$17:E51))</f>
        <v>13517.714285714326</v>
      </c>
      <c r="E52" s="484">
        <f t="shared" si="3"/>
        <v>1689.7142857142858</v>
      </c>
      <c r="F52" s="664">
        <f t="shared" si="4"/>
        <v>11828.00000000004</v>
      </c>
      <c r="G52" s="700">
        <f t="shared" si="5"/>
        <v>3055.9908022230484</v>
      </c>
      <c r="H52" s="661">
        <f t="shared" si="6"/>
        <v>3055.9908022230484</v>
      </c>
      <c r="I52" s="666">
        <f t="shared" si="7"/>
        <v>0</v>
      </c>
      <c r="J52" s="666"/>
      <c r="K52" s="132"/>
      <c r="L52" s="669">
        <f t="shared" si="0"/>
        <v>0</v>
      </c>
      <c r="M52" s="132"/>
      <c r="N52" s="669">
        <f t="shared" si="1"/>
        <v>0</v>
      </c>
      <c r="O52" s="669">
        <f t="shared" si="2"/>
        <v>0</v>
      </c>
      <c r="P52" s="635"/>
    </row>
    <row r="53" spans="2:16">
      <c r="B53" s="9" t="str">
        <f t="shared" si="8"/>
        <v/>
      </c>
      <c r="C53" s="662">
        <f>IF(D11="","-",+C52+1)</f>
        <v>2058</v>
      </c>
      <c r="D53" s="664">
        <f>IF(F52+SUM(E$17:E52)=D$10,F52,D$10-SUM(E$17:E52))</f>
        <v>11828.00000000004</v>
      </c>
      <c r="E53" s="484">
        <f t="shared" si="3"/>
        <v>1689.7142857142858</v>
      </c>
      <c r="F53" s="664">
        <f t="shared" si="4"/>
        <v>10138.285714285754</v>
      </c>
      <c r="G53" s="700">
        <f t="shared" si="5"/>
        <v>2873.8206000218806</v>
      </c>
      <c r="H53" s="661">
        <f t="shared" si="6"/>
        <v>2873.8206000218806</v>
      </c>
      <c r="I53" s="666">
        <f t="shared" si="7"/>
        <v>0</v>
      </c>
      <c r="J53" s="666"/>
      <c r="K53" s="132"/>
      <c r="L53" s="669">
        <f t="shared" si="0"/>
        <v>0</v>
      </c>
      <c r="M53" s="132"/>
      <c r="N53" s="669">
        <f t="shared" si="1"/>
        <v>0</v>
      </c>
      <c r="O53" s="669">
        <f t="shared" si="2"/>
        <v>0</v>
      </c>
      <c r="P53" s="635"/>
    </row>
    <row r="54" spans="2:16">
      <c r="B54" s="9" t="str">
        <f t="shared" si="8"/>
        <v/>
      </c>
      <c r="C54" s="662">
        <f>IF(D11="","-",+C53+1)</f>
        <v>2059</v>
      </c>
      <c r="D54" s="664">
        <f>IF(F53+SUM(E$17:E53)=D$10,F53,D$10-SUM(E$17:E53))</f>
        <v>10138.285714285754</v>
      </c>
      <c r="E54" s="484">
        <f t="shared" si="3"/>
        <v>1689.7142857142858</v>
      </c>
      <c r="F54" s="664">
        <f t="shared" si="4"/>
        <v>8448.5714285714675</v>
      </c>
      <c r="G54" s="700">
        <f t="shared" si="5"/>
        <v>2691.6503978207129</v>
      </c>
      <c r="H54" s="661">
        <f t="shared" si="6"/>
        <v>2691.6503978207129</v>
      </c>
      <c r="I54" s="666">
        <f t="shared" si="7"/>
        <v>0</v>
      </c>
      <c r="J54" s="666"/>
      <c r="K54" s="132"/>
      <c r="L54" s="669">
        <f t="shared" si="0"/>
        <v>0</v>
      </c>
      <c r="M54" s="132"/>
      <c r="N54" s="669">
        <f t="shared" si="1"/>
        <v>0</v>
      </c>
      <c r="O54" s="669">
        <f t="shared" si="2"/>
        <v>0</v>
      </c>
      <c r="P54" s="635"/>
    </row>
    <row r="55" spans="2:16">
      <c r="B55" s="9" t="str">
        <f t="shared" si="8"/>
        <v/>
      </c>
      <c r="C55" s="662">
        <f>IF(D11="","-",+C54+1)</f>
        <v>2060</v>
      </c>
      <c r="D55" s="664">
        <f>IF(F54+SUM(E$17:E54)=D$10,F54,D$10-SUM(E$17:E54))</f>
        <v>8448.5714285714675</v>
      </c>
      <c r="E55" s="484">
        <f t="shared" si="3"/>
        <v>1689.7142857142858</v>
      </c>
      <c r="F55" s="664">
        <f t="shared" si="4"/>
        <v>6758.8571428571813</v>
      </c>
      <c r="G55" s="700">
        <f t="shared" si="5"/>
        <v>2509.4801956195452</v>
      </c>
      <c r="H55" s="661">
        <f t="shared" si="6"/>
        <v>2509.4801956195452</v>
      </c>
      <c r="I55" s="666">
        <f t="shared" si="7"/>
        <v>0</v>
      </c>
      <c r="J55" s="666"/>
      <c r="K55" s="132"/>
      <c r="L55" s="669">
        <f t="shared" si="0"/>
        <v>0</v>
      </c>
      <c r="M55" s="132"/>
      <c r="N55" s="669">
        <f t="shared" si="1"/>
        <v>0</v>
      </c>
      <c r="O55" s="669">
        <f t="shared" si="2"/>
        <v>0</v>
      </c>
      <c r="P55" s="635"/>
    </row>
    <row r="56" spans="2:16">
      <c r="B56" s="9" t="str">
        <f t="shared" si="8"/>
        <v/>
      </c>
      <c r="C56" s="662">
        <f>IF(D11="","-",+C55+1)</f>
        <v>2061</v>
      </c>
      <c r="D56" s="664">
        <f>IF(F55+SUM(E$17:E55)=D$10,F55,D$10-SUM(E$17:E55))</f>
        <v>6758.8571428571813</v>
      </c>
      <c r="E56" s="484">
        <f t="shared" si="3"/>
        <v>1689.7142857142858</v>
      </c>
      <c r="F56" s="664">
        <f t="shared" si="4"/>
        <v>5069.1428571428951</v>
      </c>
      <c r="G56" s="700">
        <f t="shared" si="5"/>
        <v>2327.3099934183774</v>
      </c>
      <c r="H56" s="661">
        <f t="shared" si="6"/>
        <v>2327.3099934183774</v>
      </c>
      <c r="I56" s="666">
        <f t="shared" si="7"/>
        <v>0</v>
      </c>
      <c r="J56" s="666"/>
      <c r="K56" s="132"/>
      <c r="L56" s="669">
        <f t="shared" si="0"/>
        <v>0</v>
      </c>
      <c r="M56" s="132"/>
      <c r="N56" s="669">
        <f t="shared" si="1"/>
        <v>0</v>
      </c>
      <c r="O56" s="669">
        <f t="shared" si="2"/>
        <v>0</v>
      </c>
      <c r="P56" s="635"/>
    </row>
    <row r="57" spans="2:16">
      <c r="B57" s="9" t="str">
        <f t="shared" si="8"/>
        <v/>
      </c>
      <c r="C57" s="662">
        <f>IF(D11="","-",+C56+1)</f>
        <v>2062</v>
      </c>
      <c r="D57" s="664">
        <f>IF(F56+SUM(E$17:E56)=D$10,F56,D$10-SUM(E$17:E56))</f>
        <v>5069.1428571428951</v>
      </c>
      <c r="E57" s="484">
        <f t="shared" si="3"/>
        <v>1689.7142857142858</v>
      </c>
      <c r="F57" s="664">
        <f t="shared" si="4"/>
        <v>3379.4285714286093</v>
      </c>
      <c r="G57" s="700">
        <f t="shared" si="5"/>
        <v>2145.1397912172092</v>
      </c>
      <c r="H57" s="661">
        <f t="shared" si="6"/>
        <v>2145.1397912172092</v>
      </c>
      <c r="I57" s="666">
        <f t="shared" si="7"/>
        <v>0</v>
      </c>
      <c r="J57" s="666"/>
      <c r="K57" s="132"/>
      <c r="L57" s="669">
        <f t="shared" si="0"/>
        <v>0</v>
      </c>
      <c r="M57" s="132"/>
      <c r="N57" s="669">
        <f t="shared" si="1"/>
        <v>0</v>
      </c>
      <c r="O57" s="669">
        <f t="shared" si="2"/>
        <v>0</v>
      </c>
      <c r="P57" s="635"/>
    </row>
    <row r="58" spans="2:16">
      <c r="B58" s="9" t="str">
        <f t="shared" si="8"/>
        <v/>
      </c>
      <c r="C58" s="662">
        <f>IF(D11="","-",+C57+1)</f>
        <v>2063</v>
      </c>
      <c r="D58" s="664">
        <f>IF(F57+SUM(E$17:E57)=D$10,F57,D$10-SUM(E$17:E57))</f>
        <v>3379.4285714286093</v>
      </c>
      <c r="E58" s="484">
        <f t="shared" si="3"/>
        <v>1689.7142857142858</v>
      </c>
      <c r="F58" s="664">
        <f t="shared" si="4"/>
        <v>1689.7142857143235</v>
      </c>
      <c r="G58" s="700">
        <f t="shared" si="5"/>
        <v>1962.9695890160415</v>
      </c>
      <c r="H58" s="661">
        <f t="shared" si="6"/>
        <v>1962.9695890160415</v>
      </c>
      <c r="I58" s="666">
        <f t="shared" si="7"/>
        <v>0</v>
      </c>
      <c r="J58" s="666"/>
      <c r="K58" s="132"/>
      <c r="L58" s="669">
        <f t="shared" si="0"/>
        <v>0</v>
      </c>
      <c r="M58" s="132"/>
      <c r="N58" s="669">
        <f t="shared" si="1"/>
        <v>0</v>
      </c>
      <c r="O58" s="669">
        <f t="shared" si="2"/>
        <v>0</v>
      </c>
      <c r="P58" s="635"/>
    </row>
    <row r="59" spans="2:16">
      <c r="B59" s="9" t="str">
        <f t="shared" si="8"/>
        <v/>
      </c>
      <c r="C59" s="662">
        <f>IF(D11="","-",+C58+1)</f>
        <v>2064</v>
      </c>
      <c r="D59" s="664">
        <f>IF(F58+SUM(E$17:E58)=D$10,F58,D$10-SUM(E$17:E58))</f>
        <v>1689.7142857143235</v>
      </c>
      <c r="E59" s="484">
        <f t="shared" si="3"/>
        <v>1689.7142857142858</v>
      </c>
      <c r="F59" s="664">
        <f t="shared" si="4"/>
        <v>3.7744030123576522E-11</v>
      </c>
      <c r="G59" s="700">
        <f t="shared" si="5"/>
        <v>1780.7993868148737</v>
      </c>
      <c r="H59" s="661">
        <f t="shared" si="6"/>
        <v>1780.7993868148737</v>
      </c>
      <c r="I59" s="666">
        <f t="shared" si="7"/>
        <v>0</v>
      </c>
      <c r="J59" s="666"/>
      <c r="K59" s="132"/>
      <c r="L59" s="669">
        <f t="shared" si="0"/>
        <v>0</v>
      </c>
      <c r="M59" s="132"/>
      <c r="N59" s="669">
        <f t="shared" si="1"/>
        <v>0</v>
      </c>
      <c r="O59" s="669">
        <f t="shared" si="2"/>
        <v>0</v>
      </c>
      <c r="P59" s="635"/>
    </row>
    <row r="60" spans="2:16">
      <c r="B60" s="9" t="str">
        <f t="shared" si="8"/>
        <v/>
      </c>
      <c r="C60" s="662">
        <f>IF(D11="","-",+C59+1)</f>
        <v>2065</v>
      </c>
      <c r="D60" s="664">
        <f>IF(F59+SUM(E$17:E59)=D$10,F59,D$10-SUM(E$17:E59))</f>
        <v>3.7744030123576522E-11</v>
      </c>
      <c r="E60" s="484">
        <f t="shared" si="3"/>
        <v>3.7744030123576522E-11</v>
      </c>
      <c r="F60" s="664">
        <f t="shared" si="4"/>
        <v>0</v>
      </c>
      <c r="G60" s="700">
        <f t="shared" si="5"/>
        <v>3.9778645578281136E-11</v>
      </c>
      <c r="H60" s="661">
        <f t="shared" si="6"/>
        <v>3.9778645578281136E-11</v>
      </c>
      <c r="I60" s="666">
        <f t="shared" si="7"/>
        <v>0</v>
      </c>
      <c r="J60" s="666"/>
      <c r="K60" s="132"/>
      <c r="L60" s="669">
        <f t="shared" si="0"/>
        <v>0</v>
      </c>
      <c r="M60" s="132"/>
      <c r="N60" s="669">
        <f t="shared" si="1"/>
        <v>0</v>
      </c>
      <c r="O60" s="669">
        <f t="shared" si="2"/>
        <v>0</v>
      </c>
      <c r="P60" s="635"/>
    </row>
    <row r="61" spans="2:16">
      <c r="B61" s="9" t="str">
        <f t="shared" si="8"/>
        <v/>
      </c>
      <c r="C61" s="662">
        <f>IF(D11="","-",+C60+1)</f>
        <v>2066</v>
      </c>
      <c r="D61" s="664">
        <f>IF(F60+SUM(E$17:E60)=D$10,F60,D$10-SUM(E$17:E60))</f>
        <v>0</v>
      </c>
      <c r="E61" s="484">
        <f t="shared" si="3"/>
        <v>0</v>
      </c>
      <c r="F61" s="664">
        <f t="shared" si="4"/>
        <v>0</v>
      </c>
      <c r="G61" s="700">
        <f t="shared" si="5"/>
        <v>0</v>
      </c>
      <c r="H61" s="661">
        <f t="shared" si="6"/>
        <v>0</v>
      </c>
      <c r="I61" s="666">
        <f t="shared" si="7"/>
        <v>0</v>
      </c>
      <c r="J61" s="666"/>
      <c r="K61" s="132"/>
      <c r="L61" s="669">
        <f t="shared" si="0"/>
        <v>0</v>
      </c>
      <c r="M61" s="132"/>
      <c r="N61" s="669">
        <f t="shared" si="1"/>
        <v>0</v>
      </c>
      <c r="O61" s="669">
        <f t="shared" si="2"/>
        <v>0</v>
      </c>
      <c r="P61" s="635"/>
    </row>
    <row r="62" spans="2:16">
      <c r="B62" s="9" t="str">
        <f t="shared" si="8"/>
        <v/>
      </c>
      <c r="C62" s="662">
        <f>IF(D11="","-",+C61+1)</f>
        <v>2067</v>
      </c>
      <c r="D62" s="664">
        <f>IF(F61+SUM(E$17:E61)=D$10,F61,D$10-SUM(E$17:E61))</f>
        <v>0</v>
      </c>
      <c r="E62" s="484">
        <f t="shared" si="3"/>
        <v>0</v>
      </c>
      <c r="F62" s="664">
        <f t="shared" si="4"/>
        <v>0</v>
      </c>
      <c r="G62" s="700">
        <f t="shared" si="5"/>
        <v>0</v>
      </c>
      <c r="H62" s="661">
        <f t="shared" si="6"/>
        <v>0</v>
      </c>
      <c r="I62" s="666">
        <f t="shared" si="7"/>
        <v>0</v>
      </c>
      <c r="J62" s="666"/>
      <c r="K62" s="132"/>
      <c r="L62" s="669">
        <f t="shared" si="0"/>
        <v>0</v>
      </c>
      <c r="M62" s="132"/>
      <c r="N62" s="669">
        <f t="shared" si="1"/>
        <v>0</v>
      </c>
      <c r="O62" s="669">
        <f t="shared" si="2"/>
        <v>0</v>
      </c>
      <c r="P62" s="635"/>
    </row>
    <row r="63" spans="2:16">
      <c r="B63" s="9" t="str">
        <f t="shared" si="8"/>
        <v/>
      </c>
      <c r="C63" s="662">
        <f>IF(D11="","-",+C62+1)</f>
        <v>2068</v>
      </c>
      <c r="D63" s="664">
        <f>IF(F62+SUM(E$17:E62)=D$10,F62,D$10-SUM(E$17:E62))</f>
        <v>0</v>
      </c>
      <c r="E63" s="484">
        <f t="shared" si="3"/>
        <v>0</v>
      </c>
      <c r="F63" s="664">
        <f t="shared" si="4"/>
        <v>0</v>
      </c>
      <c r="G63" s="700">
        <f t="shared" si="5"/>
        <v>0</v>
      </c>
      <c r="H63" s="661">
        <f t="shared" si="6"/>
        <v>0</v>
      </c>
      <c r="I63" s="666">
        <f t="shared" si="7"/>
        <v>0</v>
      </c>
      <c r="J63" s="666"/>
      <c r="K63" s="132"/>
      <c r="L63" s="669">
        <f t="shared" si="0"/>
        <v>0</v>
      </c>
      <c r="M63" s="132"/>
      <c r="N63" s="669">
        <f t="shared" si="1"/>
        <v>0</v>
      </c>
      <c r="O63" s="669">
        <f t="shared" si="2"/>
        <v>0</v>
      </c>
      <c r="P63" s="635"/>
    </row>
    <row r="64" spans="2:16">
      <c r="B64" s="9" t="str">
        <f t="shared" si="8"/>
        <v/>
      </c>
      <c r="C64" s="662">
        <f>IF(D11="","-",+C63+1)</f>
        <v>2069</v>
      </c>
      <c r="D64" s="664">
        <f>IF(F63+SUM(E$17:E63)=D$10,F63,D$10-SUM(E$17:E63))</f>
        <v>0</v>
      </c>
      <c r="E64" s="484">
        <f t="shared" si="3"/>
        <v>0</v>
      </c>
      <c r="F64" s="664">
        <f t="shared" si="4"/>
        <v>0</v>
      </c>
      <c r="G64" s="700">
        <f t="shared" si="5"/>
        <v>0</v>
      </c>
      <c r="H64" s="661">
        <f t="shared" si="6"/>
        <v>0</v>
      </c>
      <c r="I64" s="666">
        <f t="shared" si="7"/>
        <v>0</v>
      </c>
      <c r="J64" s="666"/>
      <c r="K64" s="132"/>
      <c r="L64" s="669">
        <f t="shared" si="0"/>
        <v>0</v>
      </c>
      <c r="M64" s="132"/>
      <c r="N64" s="669">
        <f t="shared" si="1"/>
        <v>0</v>
      </c>
      <c r="O64" s="669">
        <f t="shared" si="2"/>
        <v>0</v>
      </c>
      <c r="P64" s="635"/>
    </row>
    <row r="65" spans="2:16">
      <c r="B65" s="9" t="str">
        <f t="shared" si="8"/>
        <v/>
      </c>
      <c r="C65" s="662">
        <f>IF(D11="","-",+C64+1)</f>
        <v>2070</v>
      </c>
      <c r="D65" s="664">
        <f>IF(F64+SUM(E$17:E64)=D$10,F64,D$10-SUM(E$17:E64))</f>
        <v>0</v>
      </c>
      <c r="E65" s="484">
        <f t="shared" si="3"/>
        <v>0</v>
      </c>
      <c r="F65" s="664">
        <f t="shared" si="4"/>
        <v>0</v>
      </c>
      <c r="G65" s="700">
        <f t="shared" si="5"/>
        <v>0</v>
      </c>
      <c r="H65" s="661">
        <f t="shared" si="6"/>
        <v>0</v>
      </c>
      <c r="I65" s="666">
        <f t="shared" si="7"/>
        <v>0</v>
      </c>
      <c r="J65" s="666"/>
      <c r="K65" s="132"/>
      <c r="L65" s="669">
        <f t="shared" si="0"/>
        <v>0</v>
      </c>
      <c r="M65" s="132"/>
      <c r="N65" s="669">
        <f t="shared" si="1"/>
        <v>0</v>
      </c>
      <c r="O65" s="669">
        <f t="shared" si="2"/>
        <v>0</v>
      </c>
      <c r="P65" s="635"/>
    </row>
    <row r="66" spans="2:16">
      <c r="B66" s="9" t="str">
        <f t="shared" si="8"/>
        <v/>
      </c>
      <c r="C66" s="662">
        <f>IF(D11="","-",+C65+1)</f>
        <v>2071</v>
      </c>
      <c r="D66" s="664">
        <f>IF(F65+SUM(E$17:E65)=D$10,F65,D$10-SUM(E$17:E65))</f>
        <v>0</v>
      </c>
      <c r="E66" s="484">
        <f t="shared" si="3"/>
        <v>0</v>
      </c>
      <c r="F66" s="664">
        <f t="shared" si="4"/>
        <v>0</v>
      </c>
      <c r="G66" s="700">
        <f t="shared" si="5"/>
        <v>0</v>
      </c>
      <c r="H66" s="661">
        <f t="shared" si="6"/>
        <v>0</v>
      </c>
      <c r="I66" s="666">
        <f t="shared" si="7"/>
        <v>0</v>
      </c>
      <c r="J66" s="666"/>
      <c r="K66" s="132"/>
      <c r="L66" s="669">
        <f t="shared" si="0"/>
        <v>0</v>
      </c>
      <c r="M66" s="132"/>
      <c r="N66" s="669">
        <f t="shared" si="1"/>
        <v>0</v>
      </c>
      <c r="O66" s="669">
        <f t="shared" si="2"/>
        <v>0</v>
      </c>
      <c r="P66" s="635"/>
    </row>
    <row r="67" spans="2:16">
      <c r="B67" s="9" t="str">
        <f t="shared" si="8"/>
        <v/>
      </c>
      <c r="C67" s="662">
        <f>IF(D11="","-",+C66+1)</f>
        <v>2072</v>
      </c>
      <c r="D67" s="664">
        <f>IF(F66+SUM(E$17:E66)=D$10,F66,D$10-SUM(E$17:E66))</f>
        <v>0</v>
      </c>
      <c r="E67" s="484">
        <f t="shared" si="3"/>
        <v>0</v>
      </c>
      <c r="F67" s="664">
        <f t="shared" si="4"/>
        <v>0</v>
      </c>
      <c r="G67" s="700">
        <f t="shared" si="5"/>
        <v>0</v>
      </c>
      <c r="H67" s="661">
        <f t="shared" si="6"/>
        <v>0</v>
      </c>
      <c r="I67" s="666">
        <f t="shared" si="7"/>
        <v>0</v>
      </c>
      <c r="J67" s="666"/>
      <c r="K67" s="132"/>
      <c r="L67" s="669">
        <f t="shared" si="0"/>
        <v>0</v>
      </c>
      <c r="M67" s="132"/>
      <c r="N67" s="669">
        <f t="shared" si="1"/>
        <v>0</v>
      </c>
      <c r="O67" s="669">
        <f t="shared" si="2"/>
        <v>0</v>
      </c>
      <c r="P67" s="635"/>
    </row>
    <row r="68" spans="2:16">
      <c r="B68" s="9" t="str">
        <f t="shared" si="8"/>
        <v/>
      </c>
      <c r="C68" s="662">
        <f>IF(D11="","-",+C67+1)</f>
        <v>2073</v>
      </c>
      <c r="D68" s="664">
        <f>IF(F67+SUM(E$17:E67)=D$10,F67,D$10-SUM(E$17:E67))</f>
        <v>0</v>
      </c>
      <c r="E68" s="484">
        <f t="shared" si="3"/>
        <v>0</v>
      </c>
      <c r="F68" s="664">
        <f t="shared" si="4"/>
        <v>0</v>
      </c>
      <c r="G68" s="700">
        <f t="shared" si="5"/>
        <v>0</v>
      </c>
      <c r="H68" s="661">
        <f t="shared" si="6"/>
        <v>0</v>
      </c>
      <c r="I68" s="666">
        <f t="shared" si="7"/>
        <v>0</v>
      </c>
      <c r="J68" s="666"/>
      <c r="K68" s="132"/>
      <c r="L68" s="669">
        <f t="shared" si="0"/>
        <v>0</v>
      </c>
      <c r="M68" s="132"/>
      <c r="N68" s="669">
        <f t="shared" si="1"/>
        <v>0</v>
      </c>
      <c r="O68" s="669">
        <f t="shared" si="2"/>
        <v>0</v>
      </c>
      <c r="P68" s="635"/>
    </row>
    <row r="69" spans="2:16">
      <c r="B69" s="9" t="str">
        <f t="shared" si="8"/>
        <v/>
      </c>
      <c r="C69" s="662">
        <f>IF(D11="","-",+C68+1)</f>
        <v>2074</v>
      </c>
      <c r="D69" s="664">
        <f>IF(F68+SUM(E$17:E68)=D$10,F68,D$10-SUM(E$17:E68))</f>
        <v>0</v>
      </c>
      <c r="E69" s="484">
        <f t="shared" si="3"/>
        <v>0</v>
      </c>
      <c r="F69" s="664">
        <f t="shared" si="4"/>
        <v>0</v>
      </c>
      <c r="G69" s="700">
        <f t="shared" si="5"/>
        <v>0</v>
      </c>
      <c r="H69" s="661">
        <f t="shared" si="6"/>
        <v>0</v>
      </c>
      <c r="I69" s="666">
        <f t="shared" si="7"/>
        <v>0</v>
      </c>
      <c r="J69" s="666"/>
      <c r="K69" s="132"/>
      <c r="L69" s="669">
        <f t="shared" si="0"/>
        <v>0</v>
      </c>
      <c r="M69" s="132"/>
      <c r="N69" s="669">
        <f t="shared" si="1"/>
        <v>0</v>
      </c>
      <c r="O69" s="669">
        <f t="shared" si="2"/>
        <v>0</v>
      </c>
      <c r="P69" s="635"/>
    </row>
    <row r="70" spans="2:16">
      <c r="B70" s="9" t="str">
        <f t="shared" si="8"/>
        <v/>
      </c>
      <c r="C70" s="662">
        <f>IF(D11="","-",+C69+1)</f>
        <v>2075</v>
      </c>
      <c r="D70" s="664">
        <f>IF(F69+SUM(E$17:E69)=D$10,F69,D$10-SUM(E$17:E69))</f>
        <v>0</v>
      </c>
      <c r="E70" s="484">
        <f t="shared" si="3"/>
        <v>0</v>
      </c>
      <c r="F70" s="664">
        <f t="shared" si="4"/>
        <v>0</v>
      </c>
      <c r="G70" s="700">
        <f t="shared" si="5"/>
        <v>0</v>
      </c>
      <c r="H70" s="661">
        <f t="shared" si="6"/>
        <v>0</v>
      </c>
      <c r="I70" s="666">
        <f t="shared" si="7"/>
        <v>0</v>
      </c>
      <c r="J70" s="666"/>
      <c r="K70" s="132"/>
      <c r="L70" s="669">
        <f t="shared" si="0"/>
        <v>0</v>
      </c>
      <c r="M70" s="132"/>
      <c r="N70" s="669">
        <f t="shared" si="1"/>
        <v>0</v>
      </c>
      <c r="O70" s="669">
        <f t="shared" si="2"/>
        <v>0</v>
      </c>
      <c r="P70" s="635"/>
    </row>
    <row r="71" spans="2:16">
      <c r="B71" s="9" t="str">
        <f t="shared" si="8"/>
        <v/>
      </c>
      <c r="C71" s="662">
        <f>IF(D11="","-",+C70+1)</f>
        <v>2076</v>
      </c>
      <c r="D71" s="664">
        <f>IF(F70+SUM(E$17:E70)=D$10,F70,D$10-SUM(E$17:E70))</f>
        <v>0</v>
      </c>
      <c r="E71" s="484">
        <f t="shared" si="3"/>
        <v>0</v>
      </c>
      <c r="F71" s="664">
        <f t="shared" si="4"/>
        <v>0</v>
      </c>
      <c r="G71" s="700">
        <f t="shared" si="5"/>
        <v>0</v>
      </c>
      <c r="H71" s="661">
        <f t="shared" si="6"/>
        <v>0</v>
      </c>
      <c r="I71" s="666">
        <f t="shared" si="7"/>
        <v>0</v>
      </c>
      <c r="J71" s="666"/>
      <c r="K71" s="132"/>
      <c r="L71" s="669">
        <f t="shared" si="0"/>
        <v>0</v>
      </c>
      <c r="M71" s="132"/>
      <c r="N71" s="669">
        <f t="shared" si="1"/>
        <v>0</v>
      </c>
      <c r="O71" s="669">
        <f t="shared" si="2"/>
        <v>0</v>
      </c>
      <c r="P71" s="635"/>
    </row>
    <row r="72" spans="2:16" ht="13.5" thickBot="1">
      <c r="B72" s="9" t="str">
        <f t="shared" si="8"/>
        <v/>
      </c>
      <c r="C72" s="671">
        <f>IF(D11="","-",+C71+1)</f>
        <v>2077</v>
      </c>
      <c r="D72" s="672">
        <f>IF(F71+SUM(E$17:E71)=D$10,F71,D$10-SUM(E$17:E71))</f>
        <v>0</v>
      </c>
      <c r="E72" s="491">
        <f>IF(+I$14&lt;F71,I$14,D72)</f>
        <v>0</v>
      </c>
      <c r="F72" s="672">
        <f>+D72-E72</f>
        <v>0</v>
      </c>
      <c r="G72" s="673">
        <f>(D72+F72)/2*I$12+E72</f>
        <v>0</v>
      </c>
      <c r="H72" s="647">
        <f>+(D72+F72)/2*I$13+E72</f>
        <v>0</v>
      </c>
      <c r="I72" s="674">
        <f>H72-G72</f>
        <v>0</v>
      </c>
      <c r="J72" s="666"/>
      <c r="K72" s="133"/>
      <c r="L72" s="675">
        <f t="shared" si="0"/>
        <v>0</v>
      </c>
      <c r="M72" s="133"/>
      <c r="N72" s="675">
        <f t="shared" si="1"/>
        <v>0</v>
      </c>
      <c r="O72" s="675">
        <f t="shared" si="2"/>
        <v>0</v>
      </c>
      <c r="P72" s="635"/>
    </row>
    <row r="73" spans="2:16">
      <c r="C73" s="663" t="s">
        <v>77</v>
      </c>
      <c r="D73" s="642"/>
      <c r="E73" s="642">
        <f>SUM(E17:E72)</f>
        <v>70968</v>
      </c>
      <c r="F73" s="642"/>
      <c r="G73" s="642">
        <f>SUM(G17:G72)</f>
        <v>234666.33159756937</v>
      </c>
      <c r="H73" s="642">
        <f>SUM(H17:H72)</f>
        <v>234666.33159756937</v>
      </c>
      <c r="I73" s="642">
        <f>SUM(I17:I72)</f>
        <v>0</v>
      </c>
      <c r="J73" s="642"/>
      <c r="K73" s="642"/>
      <c r="L73" s="642"/>
      <c r="M73" s="642"/>
      <c r="N73" s="642"/>
      <c r="O73" s="635"/>
      <c r="P73" s="635"/>
    </row>
    <row r="74" spans="2:16">
      <c r="D74" s="636"/>
      <c r="E74" s="635"/>
      <c r="F74" s="635"/>
      <c r="G74" s="635"/>
      <c r="H74" s="638"/>
      <c r="I74" s="638"/>
      <c r="J74" s="642"/>
      <c r="K74" s="638"/>
      <c r="L74" s="638"/>
      <c r="M74" s="638"/>
      <c r="N74" s="638"/>
      <c r="O74" s="635"/>
      <c r="P74" s="635"/>
    </row>
    <row r="75" spans="2:16">
      <c r="C75" s="648" t="s">
        <v>106</v>
      </c>
      <c r="D75" s="636"/>
      <c r="E75" s="635"/>
      <c r="F75" s="635"/>
      <c r="G75" s="635"/>
      <c r="H75" s="638"/>
      <c r="I75" s="638"/>
      <c r="J75" s="642"/>
      <c r="K75" s="638"/>
      <c r="L75" s="638"/>
      <c r="M75" s="638"/>
      <c r="N75" s="638"/>
      <c r="O75" s="635"/>
      <c r="P75" s="635"/>
    </row>
    <row r="76" spans="2:16">
      <c r="C76" s="645" t="s">
        <v>78</v>
      </c>
      <c r="D76" s="636"/>
      <c r="E76" s="635"/>
      <c r="F76" s="635"/>
      <c r="G76" s="635"/>
      <c r="H76" s="638"/>
      <c r="I76" s="638"/>
      <c r="J76" s="642"/>
      <c r="K76" s="638"/>
      <c r="L76" s="638"/>
      <c r="M76" s="638"/>
      <c r="N76" s="638"/>
      <c r="O76" s="635"/>
      <c r="P76" s="635"/>
    </row>
    <row r="77" spans="2:16">
      <c r="C77" s="645" t="s">
        <v>79</v>
      </c>
      <c r="D77" s="663"/>
      <c r="E77" s="663"/>
      <c r="F77" s="663"/>
      <c r="G77" s="642"/>
      <c r="H77" s="642"/>
      <c r="I77" s="676"/>
      <c r="J77" s="676"/>
      <c r="K77" s="676"/>
      <c r="L77" s="676"/>
      <c r="M77" s="676"/>
      <c r="N77" s="676"/>
      <c r="O77" s="635"/>
      <c r="P77" s="635"/>
    </row>
    <row r="78" spans="2:16">
      <c r="C78" s="645"/>
      <c r="D78" s="663"/>
      <c r="E78" s="663"/>
      <c r="F78" s="663"/>
      <c r="G78" s="642"/>
      <c r="H78" s="642"/>
      <c r="I78" s="676"/>
      <c r="J78" s="676"/>
      <c r="K78" s="676"/>
      <c r="L78" s="676"/>
      <c r="M78" s="676"/>
      <c r="N78" s="676"/>
      <c r="O78" s="635"/>
      <c r="P78" s="635"/>
    </row>
    <row r="79" spans="2:16">
      <c r="B79" s="635"/>
      <c r="C79" s="635"/>
      <c r="D79" s="636"/>
      <c r="E79" s="635"/>
      <c r="F79" s="663"/>
      <c r="G79" s="635"/>
      <c r="H79" s="638"/>
      <c r="I79" s="635"/>
      <c r="J79" s="635"/>
      <c r="K79" s="635"/>
      <c r="L79" s="635"/>
      <c r="M79" s="635"/>
      <c r="N79" s="635"/>
      <c r="O79" s="635"/>
      <c r="P79" s="635"/>
    </row>
    <row r="80" spans="2:16" ht="18">
      <c r="B80" s="635"/>
      <c r="C80" s="677"/>
      <c r="D80" s="636"/>
      <c r="E80" s="635"/>
      <c r="F80" s="663"/>
      <c r="G80" s="635"/>
      <c r="H80" s="638"/>
      <c r="I80" s="635"/>
      <c r="J80" s="635"/>
      <c r="K80" s="635"/>
      <c r="L80" s="635"/>
      <c r="M80" s="635"/>
      <c r="N80" s="635"/>
      <c r="P80" s="111" t="s">
        <v>144</v>
      </c>
    </row>
    <row r="81" spans="1:16">
      <c r="B81" s="635"/>
      <c r="C81" s="635"/>
      <c r="D81" s="636"/>
      <c r="E81" s="635"/>
      <c r="F81" s="663"/>
      <c r="G81" s="635"/>
      <c r="H81" s="638"/>
      <c r="I81" s="635"/>
      <c r="J81" s="635"/>
      <c r="K81" s="635"/>
      <c r="L81" s="635"/>
      <c r="M81" s="635"/>
      <c r="N81" s="635"/>
      <c r="O81" s="635"/>
      <c r="P81" s="635"/>
    </row>
    <row r="82" spans="1:16">
      <c r="B82" s="635"/>
      <c r="C82" s="635"/>
      <c r="D82" s="636"/>
      <c r="E82" s="635"/>
      <c r="F82" s="663"/>
      <c r="G82" s="635"/>
      <c r="H82" s="638"/>
      <c r="I82" s="635"/>
      <c r="J82" s="635"/>
      <c r="K82" s="635"/>
      <c r="L82" s="635"/>
      <c r="M82" s="635"/>
      <c r="N82" s="635"/>
      <c r="O82" s="635"/>
      <c r="P82" s="635"/>
    </row>
    <row r="83" spans="1:16" ht="20.25">
      <c r="A83" s="110" t="s">
        <v>146</v>
      </c>
      <c r="B83" s="635"/>
      <c r="C83" s="635"/>
      <c r="D83" s="636"/>
      <c r="E83" s="635"/>
      <c r="F83" s="637"/>
      <c r="G83" s="637"/>
      <c r="H83" s="635"/>
      <c r="I83" s="638"/>
      <c r="L83" s="19"/>
      <c r="M83" s="19"/>
      <c r="P83" s="19" t="str">
        <f>P1</f>
        <v>PSO Project 31 of 31</v>
      </c>
    </row>
    <row r="84" spans="1:16" ht="18">
      <c r="B84" s="635"/>
      <c r="C84" s="635"/>
      <c r="D84" s="636"/>
      <c r="E84" s="635"/>
      <c r="F84" s="635"/>
      <c r="G84" s="635"/>
      <c r="H84" s="635"/>
      <c r="I84" s="638"/>
      <c r="J84" s="635"/>
      <c r="K84" s="635"/>
      <c r="L84" s="635"/>
      <c r="M84" s="635"/>
      <c r="P84" s="117" t="s">
        <v>151</v>
      </c>
    </row>
    <row r="85" spans="1:16" ht="18.75" thickBot="1">
      <c r="B85" s="640" t="s">
        <v>42</v>
      </c>
      <c r="C85" s="678" t="s">
        <v>91</v>
      </c>
      <c r="D85" s="636"/>
      <c r="E85" s="635"/>
      <c r="F85" s="635"/>
      <c r="G85" s="635"/>
      <c r="H85" s="635"/>
      <c r="I85" s="638"/>
      <c r="J85" s="638"/>
      <c r="K85" s="642"/>
      <c r="L85" s="638"/>
      <c r="M85" s="638"/>
      <c r="N85" s="638"/>
      <c r="O85" s="642"/>
      <c r="P85" s="635"/>
    </row>
    <row r="86" spans="1:16" ht="15.75" thickBot="1">
      <c r="C86" s="643"/>
      <c r="D86" s="636"/>
      <c r="E86" s="635"/>
      <c r="F86" s="635"/>
      <c r="G86" s="635"/>
      <c r="H86" s="635"/>
      <c r="I86" s="638"/>
      <c r="J86" s="638"/>
      <c r="K86" s="642"/>
      <c r="L86" s="679">
        <f>+J92</f>
        <v>2022</v>
      </c>
      <c r="M86" s="680" t="s">
        <v>8</v>
      </c>
      <c r="N86" s="681" t="s">
        <v>153</v>
      </c>
      <c r="O86" s="682" t="s">
        <v>10</v>
      </c>
      <c r="P86" s="635"/>
    </row>
    <row r="87" spans="1:16" ht="15">
      <c r="C87" s="107" t="s">
        <v>44</v>
      </c>
      <c r="D87" s="636"/>
      <c r="E87" s="635"/>
      <c r="F87" s="635"/>
      <c r="G87" s="635"/>
      <c r="H87" s="421"/>
      <c r="I87" s="635" t="s">
        <v>45</v>
      </c>
      <c r="J87" s="635"/>
      <c r="K87" s="122"/>
      <c r="L87" s="683" t="s">
        <v>154</v>
      </c>
      <c r="M87" s="508">
        <f>IF(J92&lt;D11,0,VLOOKUP(J92,C17:O72,9))</f>
        <v>3024.2132561392209</v>
      </c>
      <c r="N87" s="508">
        <f>IF(J92&lt;D11,0,VLOOKUP(J92,C17:O72,11))</f>
        <v>3024.2132561392209</v>
      </c>
      <c r="O87" s="684">
        <f>+N87-M87</f>
        <v>0</v>
      </c>
      <c r="P87" s="635"/>
    </row>
    <row r="88" spans="1:16" ht="15.75">
      <c r="C88" s="8"/>
      <c r="D88" s="636"/>
      <c r="E88" s="635"/>
      <c r="F88" s="635"/>
      <c r="G88" s="635"/>
      <c r="H88" s="635"/>
      <c r="I88" s="426"/>
      <c r="J88" s="426"/>
      <c r="K88" s="510"/>
      <c r="L88" s="685" t="s">
        <v>155</v>
      </c>
      <c r="M88" s="512">
        <f>IF(J92&lt;D11,0,VLOOKUP(J92,C99:P154,6))</f>
        <v>3825.5742462245234</v>
      </c>
      <c r="N88" s="512">
        <f>IF(J92&lt;D11,0,VLOOKUP(J92,C99:P154,7))</f>
        <v>3825.5742462245234</v>
      </c>
      <c r="O88" s="686">
        <f>+N88-M88</f>
        <v>0</v>
      </c>
      <c r="P88" s="635"/>
    </row>
    <row r="89" spans="1:16" ht="13.5" thickBot="1">
      <c r="C89" s="645" t="s">
        <v>92</v>
      </c>
      <c r="D89" s="79" t="str">
        <f>D7</f>
        <v>Pryor Junction 138/115 kV</v>
      </c>
      <c r="E89" s="635"/>
      <c r="F89" s="635"/>
      <c r="G89" s="635"/>
      <c r="H89" s="635"/>
      <c r="I89" s="638"/>
      <c r="J89" s="638"/>
      <c r="K89" s="515"/>
      <c r="L89" s="687" t="s">
        <v>156</v>
      </c>
      <c r="M89" s="517">
        <f>+M88-M87</f>
        <v>801.36099008530255</v>
      </c>
      <c r="N89" s="517">
        <f>+N88-N87</f>
        <v>801.36099008530255</v>
      </c>
      <c r="O89" s="518">
        <f>+O88-O87</f>
        <v>0</v>
      </c>
      <c r="P89" s="635"/>
    </row>
    <row r="90" spans="1:16" ht="13.5" thickBot="1">
      <c r="C90" s="648"/>
      <c r="E90" s="663"/>
      <c r="F90" s="663"/>
      <c r="G90" s="663"/>
      <c r="H90" s="649"/>
      <c r="I90" s="638"/>
      <c r="J90" s="638"/>
      <c r="K90" s="642"/>
      <c r="L90" s="638"/>
      <c r="M90" s="638"/>
      <c r="N90" s="638"/>
      <c r="O90" s="642"/>
      <c r="P90" s="635"/>
    </row>
    <row r="91" spans="1:16" ht="13.5" thickBot="1">
      <c r="C91" s="688" t="s">
        <v>93</v>
      </c>
      <c r="D91" s="689"/>
      <c r="E91" s="690"/>
      <c r="F91" s="690"/>
      <c r="G91" s="690"/>
      <c r="H91" s="690"/>
      <c r="I91" s="690"/>
      <c r="J91" s="690"/>
    </row>
    <row r="92" spans="1:16">
      <c r="C92" s="655" t="s">
        <v>226</v>
      </c>
      <c r="D92" s="691">
        <v>70968</v>
      </c>
      <c r="E92" s="635" t="s">
        <v>94</v>
      </c>
      <c r="H92" s="636"/>
      <c r="I92" s="636"/>
      <c r="J92" s="449">
        <f>+'PSO.WS.G.BPU.ATRR.True-up'!M16</f>
        <v>2022</v>
      </c>
      <c r="K92" s="654"/>
      <c r="L92" s="642" t="s">
        <v>95</v>
      </c>
      <c r="P92" s="635"/>
    </row>
    <row r="93" spans="1:16">
      <c r="C93" s="657" t="s">
        <v>53</v>
      </c>
      <c r="D93" s="692">
        <f>+D11</f>
        <v>2022</v>
      </c>
      <c r="E93" s="657" t="s">
        <v>54</v>
      </c>
      <c r="F93" s="636"/>
      <c r="G93" s="636"/>
      <c r="J93" s="658">
        <v>0</v>
      </c>
      <c r="K93" s="659"/>
      <c r="L93" t="str">
        <f>"          INPUT TRUE-UP ARR (WITH &amp; WITHOUT INCENTIVES) FROM EACH PRIOR YEAR"</f>
        <v xml:space="preserve">          INPUT TRUE-UP ARR (WITH &amp; WITHOUT INCENTIVES) FROM EACH PRIOR YEAR</v>
      </c>
      <c r="P93" s="635"/>
    </row>
    <row r="94" spans="1:16">
      <c r="C94" s="657" t="s">
        <v>55</v>
      </c>
      <c r="D94" s="692">
        <f>+D12</f>
        <v>6</v>
      </c>
      <c r="E94" s="657" t="s">
        <v>56</v>
      </c>
      <c r="F94" s="636"/>
      <c r="G94" s="636"/>
      <c r="J94" s="660">
        <v>0.10781124580725182</v>
      </c>
      <c r="K94" s="637"/>
      <c r="L94" t="s">
        <v>96</v>
      </c>
      <c r="P94" s="635"/>
    </row>
    <row r="95" spans="1:16">
      <c r="C95" s="657" t="s">
        <v>58</v>
      </c>
      <c r="D95" s="658">
        <v>42</v>
      </c>
      <c r="E95" s="657" t="s">
        <v>59</v>
      </c>
      <c r="F95" s="636"/>
      <c r="G95" s="636"/>
      <c r="J95" s="660">
        <v>0.10781124580725182</v>
      </c>
      <c r="K95" s="637"/>
      <c r="L95" s="642" t="s">
        <v>60</v>
      </c>
      <c r="M95" s="637"/>
      <c r="N95" s="637"/>
      <c r="O95" s="637"/>
      <c r="P95" s="635"/>
    </row>
    <row r="96" spans="1:16" ht="13.5" thickBot="1">
      <c r="C96" s="657" t="s">
        <v>61</v>
      </c>
      <c r="D96" s="693" t="str">
        <f>+D14</f>
        <v>No</v>
      </c>
      <c r="E96" s="694" t="s">
        <v>63</v>
      </c>
      <c r="F96" s="695"/>
      <c r="G96" s="695"/>
      <c r="H96" s="92"/>
      <c r="I96" s="92"/>
      <c r="J96" s="647">
        <f>IF(D92=0,0,ROUND(D92/D95,0))</f>
        <v>1690</v>
      </c>
      <c r="K96" s="642"/>
      <c r="L96" s="642"/>
      <c r="M96" s="642"/>
      <c r="N96" s="642"/>
      <c r="O96" s="642"/>
      <c r="P96" s="635"/>
    </row>
    <row r="97" spans="1:16" ht="38.25">
      <c r="A97" s="6"/>
      <c r="B97" s="6"/>
      <c r="C97" s="93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93" t="s">
        <v>98</v>
      </c>
      <c r="K97" s="95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536" t="s">
        <v>73</v>
      </c>
      <c r="I98" s="466" t="s">
        <v>74</v>
      </c>
      <c r="J98" s="57" t="s">
        <v>104</v>
      </c>
      <c r="K98" s="55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662">
        <f>IF(D93= "","-",D93)</f>
        <v>2022</v>
      </c>
      <c r="D99" s="663">
        <v>0</v>
      </c>
      <c r="E99" s="670">
        <f>IF(OR(D11=I10,D92&lt;100000),0,J$96/12*(12-D94))</f>
        <v>0</v>
      </c>
      <c r="F99" s="664">
        <f>IF(D93=C99,+D92-E99,+D99-E99)</f>
        <v>70968</v>
      </c>
      <c r="G99" s="696">
        <f>+(F99+D99)/2</f>
        <v>35484</v>
      </c>
      <c r="H99" s="696">
        <f>+J$94*G99+E99</f>
        <v>3825.5742462245234</v>
      </c>
      <c r="I99" s="696">
        <f>+J$95*G99+E99</f>
        <v>3825.5742462245234</v>
      </c>
      <c r="J99" s="669">
        <f>+I99-H99</f>
        <v>0</v>
      </c>
      <c r="K99" s="669"/>
      <c r="L99" s="668">
        <f>+H99</f>
        <v>3825.5742462245234</v>
      </c>
      <c r="M99" s="668">
        <f t="shared" ref="M99:M130" si="9">IF(L99&lt;&gt;0,+H99-L99,0)</f>
        <v>0</v>
      </c>
      <c r="N99" s="668">
        <f>+I99</f>
        <v>3825.5742462245234</v>
      </c>
      <c r="O99" s="668">
        <f t="shared" ref="O99:O130" si="10">IF(N99&lt;&gt;0,+I99-N99,0)</f>
        <v>0</v>
      </c>
      <c r="P99" s="668">
        <f t="shared" ref="P99:P130" si="11">+O99-M99</f>
        <v>0</v>
      </c>
    </row>
    <row r="100" spans="1:16">
      <c r="B100" s="9" t="str">
        <f>IF(D100=F99,"","IU")</f>
        <v/>
      </c>
      <c r="C100" s="662">
        <f>IF(D93="","-",+C99+1)</f>
        <v>2023</v>
      </c>
      <c r="D100" s="663">
        <f>IF(F99+SUM(E$99:E99)=D$92,F99,D$92-SUM(E$99:E99))</f>
        <v>70968</v>
      </c>
      <c r="E100" s="69">
        <f>IF(+J$96&lt;F99,J$96,D100)</f>
        <v>1690</v>
      </c>
      <c r="F100" s="664">
        <f>+D100-E100</f>
        <v>69278</v>
      </c>
      <c r="G100" s="664">
        <f>+(F100+D100)/2</f>
        <v>70123</v>
      </c>
      <c r="H100" s="130">
        <f t="shared" ref="H100:H154" si="12">+J$94*G100+E100</f>
        <v>9250.0479897419191</v>
      </c>
      <c r="I100" s="139">
        <f t="shared" ref="I100:I154" si="13">+J$95*G100+E100</f>
        <v>9250.0479897419191</v>
      </c>
      <c r="J100" s="669">
        <f t="shared" ref="J100:J130" si="14">+I100-H100</f>
        <v>0</v>
      </c>
      <c r="K100" s="669"/>
      <c r="L100" s="132"/>
      <c r="M100" s="669">
        <f t="shared" si="9"/>
        <v>0</v>
      </c>
      <c r="N100" s="132"/>
      <c r="O100" s="669">
        <f t="shared" si="10"/>
        <v>0</v>
      </c>
      <c r="P100" s="669">
        <f t="shared" si="11"/>
        <v>0</v>
      </c>
    </row>
    <row r="101" spans="1:16">
      <c r="B101" s="9" t="str">
        <f t="shared" ref="B101:B154" si="15">IF(D101=F100,"","IU")</f>
        <v/>
      </c>
      <c r="C101" s="662">
        <f>IF(D93="","-",+C100+1)</f>
        <v>2024</v>
      </c>
      <c r="D101" s="663">
        <f>IF(F100+SUM(E$99:E100)=D$92,F100,D$92-SUM(E$99:E100))</f>
        <v>69278</v>
      </c>
      <c r="E101" s="69">
        <f t="shared" ref="E101:E154" si="16">IF(+J$96&lt;F100,J$96,D101)</f>
        <v>1690</v>
      </c>
      <c r="F101" s="664">
        <f t="shared" ref="F101:F154" si="17">+D101-E101</f>
        <v>67588</v>
      </c>
      <c r="G101" s="664">
        <f t="shared" ref="G101:G154" si="18">+(F101+D101)/2</f>
        <v>68433</v>
      </c>
      <c r="H101" s="130">
        <f t="shared" si="12"/>
        <v>9067.8469843276634</v>
      </c>
      <c r="I101" s="139">
        <f t="shared" si="13"/>
        <v>9067.8469843276634</v>
      </c>
      <c r="J101" s="669">
        <f t="shared" si="14"/>
        <v>0</v>
      </c>
      <c r="K101" s="669"/>
      <c r="L101" s="132"/>
      <c r="M101" s="669">
        <f t="shared" si="9"/>
        <v>0</v>
      </c>
      <c r="N101" s="132"/>
      <c r="O101" s="669">
        <f t="shared" si="10"/>
        <v>0</v>
      </c>
      <c r="P101" s="669">
        <f t="shared" si="11"/>
        <v>0</v>
      </c>
    </row>
    <row r="102" spans="1:16">
      <c r="B102" s="9" t="str">
        <f t="shared" si="15"/>
        <v/>
      </c>
      <c r="C102" s="662">
        <f>IF(D93="","-",+C101+1)</f>
        <v>2025</v>
      </c>
      <c r="D102" s="663">
        <f>IF(F101+SUM(E$99:E101)=D$92,F101,D$92-SUM(E$99:E101))</f>
        <v>67588</v>
      </c>
      <c r="E102" s="69">
        <f t="shared" si="16"/>
        <v>1690</v>
      </c>
      <c r="F102" s="664">
        <f t="shared" si="17"/>
        <v>65898</v>
      </c>
      <c r="G102" s="664">
        <f t="shared" si="18"/>
        <v>66743</v>
      </c>
      <c r="H102" s="130">
        <f t="shared" si="12"/>
        <v>8885.6459789134096</v>
      </c>
      <c r="I102" s="139">
        <f t="shared" si="13"/>
        <v>8885.6459789134096</v>
      </c>
      <c r="J102" s="669">
        <f t="shared" si="14"/>
        <v>0</v>
      </c>
      <c r="K102" s="669"/>
      <c r="L102" s="132"/>
      <c r="M102" s="669">
        <f t="shared" si="9"/>
        <v>0</v>
      </c>
      <c r="N102" s="132"/>
      <c r="O102" s="669">
        <f t="shared" si="10"/>
        <v>0</v>
      </c>
      <c r="P102" s="669">
        <f t="shared" si="11"/>
        <v>0</v>
      </c>
    </row>
    <row r="103" spans="1:16">
      <c r="B103" s="9" t="str">
        <f t="shared" si="15"/>
        <v/>
      </c>
      <c r="C103" s="662">
        <f>IF(D93="","-",+C102+1)</f>
        <v>2026</v>
      </c>
      <c r="D103" s="663">
        <f>IF(F102+SUM(E$99:E102)=D$92,F102,D$92-SUM(E$99:E102))</f>
        <v>65898</v>
      </c>
      <c r="E103" s="69">
        <f t="shared" si="16"/>
        <v>1690</v>
      </c>
      <c r="F103" s="664">
        <f t="shared" si="17"/>
        <v>64208</v>
      </c>
      <c r="G103" s="664">
        <f t="shared" si="18"/>
        <v>65053</v>
      </c>
      <c r="H103" s="130">
        <f t="shared" si="12"/>
        <v>8703.444973499154</v>
      </c>
      <c r="I103" s="139">
        <f t="shared" si="13"/>
        <v>8703.444973499154</v>
      </c>
      <c r="J103" s="669">
        <f t="shared" si="14"/>
        <v>0</v>
      </c>
      <c r="K103" s="669"/>
      <c r="L103" s="132"/>
      <c r="M103" s="669">
        <f t="shared" si="9"/>
        <v>0</v>
      </c>
      <c r="N103" s="132"/>
      <c r="O103" s="669">
        <f t="shared" si="10"/>
        <v>0</v>
      </c>
      <c r="P103" s="669">
        <f t="shared" si="11"/>
        <v>0</v>
      </c>
    </row>
    <row r="104" spans="1:16">
      <c r="B104" s="9" t="str">
        <f t="shared" si="15"/>
        <v/>
      </c>
      <c r="C104" s="662">
        <f>IF(D93="","-",+C103+1)</f>
        <v>2027</v>
      </c>
      <c r="D104" s="663">
        <f>IF(F103+SUM(E$99:E103)=D$92,F103,D$92-SUM(E$99:E103))</f>
        <v>64208</v>
      </c>
      <c r="E104" s="69">
        <f t="shared" si="16"/>
        <v>1690</v>
      </c>
      <c r="F104" s="664">
        <f t="shared" si="17"/>
        <v>62518</v>
      </c>
      <c r="G104" s="664">
        <f t="shared" si="18"/>
        <v>63363</v>
      </c>
      <c r="H104" s="130">
        <f t="shared" si="12"/>
        <v>8521.2439680848984</v>
      </c>
      <c r="I104" s="139">
        <f t="shared" si="13"/>
        <v>8521.2439680848984</v>
      </c>
      <c r="J104" s="669">
        <f t="shared" si="14"/>
        <v>0</v>
      </c>
      <c r="K104" s="669"/>
      <c r="L104" s="132"/>
      <c r="M104" s="669">
        <f t="shared" si="9"/>
        <v>0</v>
      </c>
      <c r="N104" s="132"/>
      <c r="O104" s="669">
        <f t="shared" si="10"/>
        <v>0</v>
      </c>
      <c r="P104" s="669">
        <f t="shared" si="11"/>
        <v>0</v>
      </c>
    </row>
    <row r="105" spans="1:16">
      <c r="B105" s="9" t="str">
        <f t="shared" si="15"/>
        <v/>
      </c>
      <c r="C105" s="662">
        <f>IF(D93="","-",+C104+1)</f>
        <v>2028</v>
      </c>
      <c r="D105" s="663">
        <f>IF(F104+SUM(E$99:E104)=D$92,F104,D$92-SUM(E$99:E104))</f>
        <v>62518</v>
      </c>
      <c r="E105" s="69">
        <f t="shared" si="16"/>
        <v>1690</v>
      </c>
      <c r="F105" s="664">
        <f t="shared" si="17"/>
        <v>60828</v>
      </c>
      <c r="G105" s="664">
        <f t="shared" si="18"/>
        <v>61673</v>
      </c>
      <c r="H105" s="130">
        <f t="shared" si="12"/>
        <v>8339.0429626706427</v>
      </c>
      <c r="I105" s="139">
        <f t="shared" si="13"/>
        <v>8339.0429626706427</v>
      </c>
      <c r="J105" s="669">
        <f t="shared" si="14"/>
        <v>0</v>
      </c>
      <c r="K105" s="669"/>
      <c r="L105" s="132"/>
      <c r="M105" s="669">
        <f t="shared" si="9"/>
        <v>0</v>
      </c>
      <c r="N105" s="132"/>
      <c r="O105" s="669">
        <f t="shared" si="10"/>
        <v>0</v>
      </c>
      <c r="P105" s="669">
        <f t="shared" si="11"/>
        <v>0</v>
      </c>
    </row>
    <row r="106" spans="1:16">
      <c r="B106" s="9" t="str">
        <f t="shared" si="15"/>
        <v/>
      </c>
      <c r="C106" s="662">
        <f>IF(D93="","-",+C105+1)</f>
        <v>2029</v>
      </c>
      <c r="D106" s="663">
        <f>IF(F105+SUM(E$99:E105)=D$92,F105,D$92-SUM(E$99:E105))</f>
        <v>60828</v>
      </c>
      <c r="E106" s="69">
        <f t="shared" si="16"/>
        <v>1690</v>
      </c>
      <c r="F106" s="664">
        <f t="shared" si="17"/>
        <v>59138</v>
      </c>
      <c r="G106" s="664">
        <f t="shared" si="18"/>
        <v>59983</v>
      </c>
      <c r="H106" s="130">
        <f t="shared" si="12"/>
        <v>8156.8419572563862</v>
      </c>
      <c r="I106" s="139">
        <f t="shared" si="13"/>
        <v>8156.8419572563862</v>
      </c>
      <c r="J106" s="669">
        <f t="shared" si="14"/>
        <v>0</v>
      </c>
      <c r="K106" s="669"/>
      <c r="L106" s="132"/>
      <c r="M106" s="669">
        <f t="shared" si="9"/>
        <v>0</v>
      </c>
      <c r="N106" s="132"/>
      <c r="O106" s="669">
        <f t="shared" si="10"/>
        <v>0</v>
      </c>
      <c r="P106" s="669">
        <f t="shared" si="11"/>
        <v>0</v>
      </c>
    </row>
    <row r="107" spans="1:16">
      <c r="B107" s="9" t="str">
        <f t="shared" si="15"/>
        <v/>
      </c>
      <c r="C107" s="662">
        <f>IF(D93="","-",+C106+1)</f>
        <v>2030</v>
      </c>
      <c r="D107" s="663">
        <f>IF(F106+SUM(E$99:E106)=D$92,F106,D$92-SUM(E$99:E106))</f>
        <v>59138</v>
      </c>
      <c r="E107" s="69">
        <f t="shared" si="16"/>
        <v>1690</v>
      </c>
      <c r="F107" s="664">
        <f t="shared" si="17"/>
        <v>57448</v>
      </c>
      <c r="G107" s="664">
        <f t="shared" si="18"/>
        <v>58293</v>
      </c>
      <c r="H107" s="130">
        <f t="shared" si="12"/>
        <v>7974.6409518421306</v>
      </c>
      <c r="I107" s="139">
        <f t="shared" si="13"/>
        <v>7974.6409518421306</v>
      </c>
      <c r="J107" s="669">
        <f t="shared" si="14"/>
        <v>0</v>
      </c>
      <c r="K107" s="669"/>
      <c r="L107" s="132"/>
      <c r="M107" s="669">
        <f t="shared" si="9"/>
        <v>0</v>
      </c>
      <c r="N107" s="132"/>
      <c r="O107" s="669">
        <f t="shared" si="10"/>
        <v>0</v>
      </c>
      <c r="P107" s="669">
        <f t="shared" si="11"/>
        <v>0</v>
      </c>
    </row>
    <row r="108" spans="1:16">
      <c r="B108" s="9" t="str">
        <f t="shared" si="15"/>
        <v/>
      </c>
      <c r="C108" s="662">
        <f>IF(D93="","-",+C107+1)</f>
        <v>2031</v>
      </c>
      <c r="D108" s="663">
        <f>IF(F107+SUM(E$99:E107)=D$92,F107,D$92-SUM(E$99:E107))</f>
        <v>57448</v>
      </c>
      <c r="E108" s="69">
        <f t="shared" si="16"/>
        <v>1690</v>
      </c>
      <c r="F108" s="664">
        <f t="shared" si="17"/>
        <v>55758</v>
      </c>
      <c r="G108" s="664">
        <f t="shared" si="18"/>
        <v>56603</v>
      </c>
      <c r="H108" s="130">
        <f t="shared" si="12"/>
        <v>7792.4399464278749</v>
      </c>
      <c r="I108" s="139">
        <f t="shared" si="13"/>
        <v>7792.4399464278749</v>
      </c>
      <c r="J108" s="669">
        <f t="shared" si="14"/>
        <v>0</v>
      </c>
      <c r="K108" s="669"/>
      <c r="L108" s="132"/>
      <c r="M108" s="669">
        <f t="shared" si="9"/>
        <v>0</v>
      </c>
      <c r="N108" s="132"/>
      <c r="O108" s="669">
        <f t="shared" si="10"/>
        <v>0</v>
      </c>
      <c r="P108" s="669">
        <f t="shared" si="11"/>
        <v>0</v>
      </c>
    </row>
    <row r="109" spans="1:16">
      <c r="B109" s="9" t="str">
        <f t="shared" si="15"/>
        <v/>
      </c>
      <c r="C109" s="662">
        <f>IF(D93="","-",+C108+1)</f>
        <v>2032</v>
      </c>
      <c r="D109" s="663">
        <f>IF(F108+SUM(E$99:E108)=D$92,F108,D$92-SUM(E$99:E108))</f>
        <v>55758</v>
      </c>
      <c r="E109" s="69">
        <f t="shared" si="16"/>
        <v>1690</v>
      </c>
      <c r="F109" s="664">
        <f t="shared" si="17"/>
        <v>54068</v>
      </c>
      <c r="G109" s="664">
        <f t="shared" si="18"/>
        <v>54913</v>
      </c>
      <c r="H109" s="130">
        <f t="shared" si="12"/>
        <v>7610.2389410136193</v>
      </c>
      <c r="I109" s="139">
        <f t="shared" si="13"/>
        <v>7610.2389410136193</v>
      </c>
      <c r="J109" s="669">
        <f t="shared" si="14"/>
        <v>0</v>
      </c>
      <c r="K109" s="669"/>
      <c r="L109" s="132"/>
      <c r="M109" s="669">
        <f t="shared" si="9"/>
        <v>0</v>
      </c>
      <c r="N109" s="132"/>
      <c r="O109" s="669">
        <f t="shared" si="10"/>
        <v>0</v>
      </c>
      <c r="P109" s="669">
        <f t="shared" si="11"/>
        <v>0</v>
      </c>
    </row>
    <row r="110" spans="1:16">
      <c r="B110" s="9" t="str">
        <f t="shared" si="15"/>
        <v/>
      </c>
      <c r="C110" s="662">
        <f>IF(D93="","-",+C109+1)</f>
        <v>2033</v>
      </c>
      <c r="D110" s="663">
        <f>IF(F109+SUM(E$99:E109)=D$92,F109,D$92-SUM(E$99:E109))</f>
        <v>54068</v>
      </c>
      <c r="E110" s="69">
        <f t="shared" si="16"/>
        <v>1690</v>
      </c>
      <c r="F110" s="664">
        <f t="shared" si="17"/>
        <v>52378</v>
      </c>
      <c r="G110" s="664">
        <f t="shared" si="18"/>
        <v>53223</v>
      </c>
      <c r="H110" s="130">
        <f t="shared" si="12"/>
        <v>7428.0379355993637</v>
      </c>
      <c r="I110" s="139">
        <f t="shared" si="13"/>
        <v>7428.0379355993637</v>
      </c>
      <c r="J110" s="669">
        <f t="shared" si="14"/>
        <v>0</v>
      </c>
      <c r="K110" s="669"/>
      <c r="L110" s="132"/>
      <c r="M110" s="669">
        <f t="shared" si="9"/>
        <v>0</v>
      </c>
      <c r="N110" s="132"/>
      <c r="O110" s="669">
        <f t="shared" si="10"/>
        <v>0</v>
      </c>
      <c r="P110" s="669">
        <f t="shared" si="11"/>
        <v>0</v>
      </c>
    </row>
    <row r="111" spans="1:16">
      <c r="B111" s="9" t="str">
        <f t="shared" si="15"/>
        <v/>
      </c>
      <c r="C111" s="662">
        <f>IF(D93="","-",+C110+1)</f>
        <v>2034</v>
      </c>
      <c r="D111" s="663">
        <f>IF(F110+SUM(E$99:E110)=D$92,F110,D$92-SUM(E$99:E110))</f>
        <v>52378</v>
      </c>
      <c r="E111" s="69">
        <f t="shared" si="16"/>
        <v>1690</v>
      </c>
      <c r="F111" s="664">
        <f t="shared" si="17"/>
        <v>50688</v>
      </c>
      <c r="G111" s="664">
        <f t="shared" si="18"/>
        <v>51533</v>
      </c>
      <c r="H111" s="130">
        <f t="shared" si="12"/>
        <v>7245.836930185108</v>
      </c>
      <c r="I111" s="139">
        <f t="shared" si="13"/>
        <v>7245.836930185108</v>
      </c>
      <c r="J111" s="669">
        <f t="shared" si="14"/>
        <v>0</v>
      </c>
      <c r="K111" s="669"/>
      <c r="L111" s="132"/>
      <c r="M111" s="669">
        <f t="shared" si="9"/>
        <v>0</v>
      </c>
      <c r="N111" s="132"/>
      <c r="O111" s="669">
        <f t="shared" si="10"/>
        <v>0</v>
      </c>
      <c r="P111" s="669">
        <f t="shared" si="11"/>
        <v>0</v>
      </c>
    </row>
    <row r="112" spans="1:16">
      <c r="B112" s="9" t="str">
        <f t="shared" si="15"/>
        <v/>
      </c>
      <c r="C112" s="662">
        <f>IF(D93="","-",+C111+1)</f>
        <v>2035</v>
      </c>
      <c r="D112" s="663">
        <f>IF(F111+SUM(E$99:E111)=D$92,F111,D$92-SUM(E$99:E111))</f>
        <v>50688</v>
      </c>
      <c r="E112" s="69">
        <f t="shared" si="16"/>
        <v>1690</v>
      </c>
      <c r="F112" s="664">
        <f t="shared" si="17"/>
        <v>48998</v>
      </c>
      <c r="G112" s="664">
        <f t="shared" si="18"/>
        <v>49843</v>
      </c>
      <c r="H112" s="130">
        <f t="shared" si="12"/>
        <v>7063.6359247708524</v>
      </c>
      <c r="I112" s="139">
        <f t="shared" si="13"/>
        <v>7063.6359247708524</v>
      </c>
      <c r="J112" s="669">
        <f t="shared" si="14"/>
        <v>0</v>
      </c>
      <c r="K112" s="669"/>
      <c r="L112" s="132"/>
      <c r="M112" s="669">
        <f t="shared" si="9"/>
        <v>0</v>
      </c>
      <c r="N112" s="132"/>
      <c r="O112" s="669">
        <f t="shared" si="10"/>
        <v>0</v>
      </c>
      <c r="P112" s="669">
        <f t="shared" si="11"/>
        <v>0</v>
      </c>
    </row>
    <row r="113" spans="2:16">
      <c r="B113" s="9" t="str">
        <f t="shared" si="15"/>
        <v/>
      </c>
      <c r="C113" s="662">
        <f>IF(D93="","-",+C112+1)</f>
        <v>2036</v>
      </c>
      <c r="D113" s="663">
        <f>IF(F112+SUM(E$99:E112)=D$92,F112,D$92-SUM(E$99:E112))</f>
        <v>48998</v>
      </c>
      <c r="E113" s="69">
        <f t="shared" si="16"/>
        <v>1690</v>
      </c>
      <c r="F113" s="664">
        <f t="shared" si="17"/>
        <v>47308</v>
      </c>
      <c r="G113" s="664">
        <f t="shared" si="18"/>
        <v>48153</v>
      </c>
      <c r="H113" s="130">
        <f t="shared" si="12"/>
        <v>6881.4349193565968</v>
      </c>
      <c r="I113" s="139">
        <f t="shared" si="13"/>
        <v>6881.4349193565968</v>
      </c>
      <c r="J113" s="669">
        <f t="shared" si="14"/>
        <v>0</v>
      </c>
      <c r="K113" s="669"/>
      <c r="L113" s="132"/>
      <c r="M113" s="669">
        <f t="shared" si="9"/>
        <v>0</v>
      </c>
      <c r="N113" s="132"/>
      <c r="O113" s="669">
        <f t="shared" si="10"/>
        <v>0</v>
      </c>
      <c r="P113" s="669">
        <f t="shared" si="11"/>
        <v>0</v>
      </c>
    </row>
    <row r="114" spans="2:16">
      <c r="B114" s="9" t="str">
        <f t="shared" si="15"/>
        <v/>
      </c>
      <c r="C114" s="662">
        <f>IF(D93="","-",+C113+1)</f>
        <v>2037</v>
      </c>
      <c r="D114" s="663">
        <f>IF(F113+SUM(E$99:E113)=D$92,F113,D$92-SUM(E$99:E113))</f>
        <v>47308</v>
      </c>
      <c r="E114" s="69">
        <f t="shared" si="16"/>
        <v>1690</v>
      </c>
      <c r="F114" s="664">
        <f t="shared" si="17"/>
        <v>45618</v>
      </c>
      <c r="G114" s="664">
        <f t="shared" si="18"/>
        <v>46463</v>
      </c>
      <c r="H114" s="130">
        <f t="shared" si="12"/>
        <v>6699.2339139423411</v>
      </c>
      <c r="I114" s="139">
        <f t="shared" si="13"/>
        <v>6699.2339139423411</v>
      </c>
      <c r="J114" s="669">
        <f t="shared" si="14"/>
        <v>0</v>
      </c>
      <c r="K114" s="669"/>
      <c r="L114" s="132"/>
      <c r="M114" s="669">
        <f t="shared" si="9"/>
        <v>0</v>
      </c>
      <c r="N114" s="132"/>
      <c r="O114" s="669">
        <f t="shared" si="10"/>
        <v>0</v>
      </c>
      <c r="P114" s="669">
        <f t="shared" si="11"/>
        <v>0</v>
      </c>
    </row>
    <row r="115" spans="2:16">
      <c r="B115" s="9" t="str">
        <f t="shared" si="15"/>
        <v/>
      </c>
      <c r="C115" s="662">
        <f>IF(D93="","-",+C114+1)</f>
        <v>2038</v>
      </c>
      <c r="D115" s="663">
        <f>IF(F114+SUM(E$99:E114)=D$92,F114,D$92-SUM(E$99:E114))</f>
        <v>45618</v>
      </c>
      <c r="E115" s="69">
        <f t="shared" si="16"/>
        <v>1690</v>
      </c>
      <c r="F115" s="664">
        <f t="shared" si="17"/>
        <v>43928</v>
      </c>
      <c r="G115" s="664">
        <f t="shared" si="18"/>
        <v>44773</v>
      </c>
      <c r="H115" s="130">
        <f t="shared" si="12"/>
        <v>6517.0329085280855</v>
      </c>
      <c r="I115" s="139">
        <f t="shared" si="13"/>
        <v>6517.0329085280855</v>
      </c>
      <c r="J115" s="669">
        <f t="shared" si="14"/>
        <v>0</v>
      </c>
      <c r="K115" s="669"/>
      <c r="L115" s="132"/>
      <c r="M115" s="669">
        <f t="shared" si="9"/>
        <v>0</v>
      </c>
      <c r="N115" s="132"/>
      <c r="O115" s="669">
        <f t="shared" si="10"/>
        <v>0</v>
      </c>
      <c r="P115" s="669">
        <f t="shared" si="11"/>
        <v>0</v>
      </c>
    </row>
    <row r="116" spans="2:16">
      <c r="B116" s="9" t="str">
        <f t="shared" si="15"/>
        <v/>
      </c>
      <c r="C116" s="662">
        <f>IF(D93="","-",+C115+1)</f>
        <v>2039</v>
      </c>
      <c r="D116" s="663">
        <f>IF(F115+SUM(E$99:E115)=D$92,F115,D$92-SUM(E$99:E115))</f>
        <v>43928</v>
      </c>
      <c r="E116" s="69">
        <f t="shared" si="16"/>
        <v>1690</v>
      </c>
      <c r="F116" s="664">
        <f t="shared" si="17"/>
        <v>42238</v>
      </c>
      <c r="G116" s="664">
        <f t="shared" si="18"/>
        <v>43083</v>
      </c>
      <c r="H116" s="130">
        <f t="shared" si="12"/>
        <v>6334.8319031138299</v>
      </c>
      <c r="I116" s="139">
        <f t="shared" si="13"/>
        <v>6334.8319031138299</v>
      </c>
      <c r="J116" s="669">
        <f t="shared" si="14"/>
        <v>0</v>
      </c>
      <c r="K116" s="669"/>
      <c r="L116" s="132"/>
      <c r="M116" s="669">
        <f t="shared" si="9"/>
        <v>0</v>
      </c>
      <c r="N116" s="132"/>
      <c r="O116" s="669">
        <f t="shared" si="10"/>
        <v>0</v>
      </c>
      <c r="P116" s="669">
        <f t="shared" si="11"/>
        <v>0</v>
      </c>
    </row>
    <row r="117" spans="2:16">
      <c r="B117" s="9" t="str">
        <f t="shared" si="15"/>
        <v/>
      </c>
      <c r="C117" s="662">
        <f>IF(D93="","-",+C116+1)</f>
        <v>2040</v>
      </c>
      <c r="D117" s="663">
        <f>IF(F116+SUM(E$99:E116)=D$92,F116,D$92-SUM(E$99:E116))</f>
        <v>42238</v>
      </c>
      <c r="E117" s="69">
        <f t="shared" si="16"/>
        <v>1690</v>
      </c>
      <c r="F117" s="664">
        <f t="shared" si="17"/>
        <v>40548</v>
      </c>
      <c r="G117" s="664">
        <f t="shared" si="18"/>
        <v>41393</v>
      </c>
      <c r="H117" s="130">
        <f t="shared" si="12"/>
        <v>6152.6308976995742</v>
      </c>
      <c r="I117" s="139">
        <f t="shared" si="13"/>
        <v>6152.6308976995742</v>
      </c>
      <c r="J117" s="669">
        <f t="shared" si="14"/>
        <v>0</v>
      </c>
      <c r="K117" s="669"/>
      <c r="L117" s="132"/>
      <c r="M117" s="669">
        <f t="shared" si="9"/>
        <v>0</v>
      </c>
      <c r="N117" s="132"/>
      <c r="O117" s="669">
        <f t="shared" si="10"/>
        <v>0</v>
      </c>
      <c r="P117" s="669">
        <f t="shared" si="11"/>
        <v>0</v>
      </c>
    </row>
    <row r="118" spans="2:16">
      <c r="B118" s="9" t="str">
        <f t="shared" si="15"/>
        <v/>
      </c>
      <c r="C118" s="662">
        <f>IF(D93="","-",+C117+1)</f>
        <v>2041</v>
      </c>
      <c r="D118" s="663">
        <f>IF(F117+SUM(E$99:E117)=D$92,F117,D$92-SUM(E$99:E117))</f>
        <v>40548</v>
      </c>
      <c r="E118" s="69">
        <f t="shared" si="16"/>
        <v>1690</v>
      </c>
      <c r="F118" s="664">
        <f t="shared" si="17"/>
        <v>38858</v>
      </c>
      <c r="G118" s="664">
        <f t="shared" si="18"/>
        <v>39703</v>
      </c>
      <c r="H118" s="130">
        <f t="shared" si="12"/>
        <v>5970.4298922853186</v>
      </c>
      <c r="I118" s="139">
        <f t="shared" si="13"/>
        <v>5970.4298922853186</v>
      </c>
      <c r="J118" s="669">
        <f t="shared" si="14"/>
        <v>0</v>
      </c>
      <c r="K118" s="669"/>
      <c r="L118" s="132"/>
      <c r="M118" s="669">
        <f t="shared" si="9"/>
        <v>0</v>
      </c>
      <c r="N118" s="132"/>
      <c r="O118" s="669">
        <f t="shared" si="10"/>
        <v>0</v>
      </c>
      <c r="P118" s="669">
        <f t="shared" si="11"/>
        <v>0</v>
      </c>
    </row>
    <row r="119" spans="2:16">
      <c r="B119" s="9" t="str">
        <f t="shared" si="15"/>
        <v/>
      </c>
      <c r="C119" s="662">
        <f>IF(D93="","-",+C118+1)</f>
        <v>2042</v>
      </c>
      <c r="D119" s="663">
        <f>IF(F118+SUM(E$99:E118)=D$92,F118,D$92-SUM(E$99:E118))</f>
        <v>38858</v>
      </c>
      <c r="E119" s="69">
        <f t="shared" si="16"/>
        <v>1690</v>
      </c>
      <c r="F119" s="664">
        <f t="shared" si="17"/>
        <v>37168</v>
      </c>
      <c r="G119" s="664">
        <f t="shared" si="18"/>
        <v>38013</v>
      </c>
      <c r="H119" s="130">
        <f t="shared" si="12"/>
        <v>5788.2288868710639</v>
      </c>
      <c r="I119" s="139">
        <f t="shared" si="13"/>
        <v>5788.2288868710639</v>
      </c>
      <c r="J119" s="669">
        <f t="shared" si="14"/>
        <v>0</v>
      </c>
      <c r="K119" s="669"/>
      <c r="L119" s="132"/>
      <c r="M119" s="669">
        <f t="shared" si="9"/>
        <v>0</v>
      </c>
      <c r="N119" s="132"/>
      <c r="O119" s="669">
        <f t="shared" si="10"/>
        <v>0</v>
      </c>
      <c r="P119" s="669">
        <f t="shared" si="11"/>
        <v>0</v>
      </c>
    </row>
    <row r="120" spans="2:16">
      <c r="B120" s="9" t="str">
        <f t="shared" si="15"/>
        <v/>
      </c>
      <c r="C120" s="662">
        <f>IF(D93="","-",+C119+1)</f>
        <v>2043</v>
      </c>
      <c r="D120" s="663">
        <f>IF(F119+SUM(E$99:E119)=D$92,F119,D$92-SUM(E$99:E119))</f>
        <v>37168</v>
      </c>
      <c r="E120" s="69">
        <f t="shared" si="16"/>
        <v>1690</v>
      </c>
      <c r="F120" s="664">
        <f t="shared" si="17"/>
        <v>35478</v>
      </c>
      <c r="G120" s="664">
        <f t="shared" si="18"/>
        <v>36323</v>
      </c>
      <c r="H120" s="130">
        <f t="shared" si="12"/>
        <v>5606.0278814568082</v>
      </c>
      <c r="I120" s="139">
        <f t="shared" si="13"/>
        <v>5606.0278814568082</v>
      </c>
      <c r="J120" s="669">
        <f t="shared" si="14"/>
        <v>0</v>
      </c>
      <c r="K120" s="669"/>
      <c r="L120" s="132"/>
      <c r="M120" s="669">
        <f t="shared" si="9"/>
        <v>0</v>
      </c>
      <c r="N120" s="132"/>
      <c r="O120" s="669">
        <f t="shared" si="10"/>
        <v>0</v>
      </c>
      <c r="P120" s="669">
        <f t="shared" si="11"/>
        <v>0</v>
      </c>
    </row>
    <row r="121" spans="2:16">
      <c r="B121" s="9" t="str">
        <f t="shared" si="15"/>
        <v/>
      </c>
      <c r="C121" s="662">
        <f>IF(D93="","-",+C120+1)</f>
        <v>2044</v>
      </c>
      <c r="D121" s="663">
        <f>IF(F120+SUM(E$99:E120)=D$92,F120,D$92-SUM(E$99:E120))</f>
        <v>35478</v>
      </c>
      <c r="E121" s="69">
        <f t="shared" si="16"/>
        <v>1690</v>
      </c>
      <c r="F121" s="664">
        <f t="shared" si="17"/>
        <v>33788</v>
      </c>
      <c r="G121" s="664">
        <f t="shared" si="18"/>
        <v>34633</v>
      </c>
      <c r="H121" s="130">
        <f t="shared" si="12"/>
        <v>5423.8268760425526</v>
      </c>
      <c r="I121" s="139">
        <f t="shared" si="13"/>
        <v>5423.8268760425526</v>
      </c>
      <c r="J121" s="669">
        <f t="shared" si="14"/>
        <v>0</v>
      </c>
      <c r="K121" s="669"/>
      <c r="L121" s="132"/>
      <c r="M121" s="669">
        <f t="shared" si="9"/>
        <v>0</v>
      </c>
      <c r="N121" s="132"/>
      <c r="O121" s="669">
        <f t="shared" si="10"/>
        <v>0</v>
      </c>
      <c r="P121" s="669">
        <f t="shared" si="11"/>
        <v>0</v>
      </c>
    </row>
    <row r="122" spans="2:16">
      <c r="B122" s="9" t="str">
        <f t="shared" si="15"/>
        <v/>
      </c>
      <c r="C122" s="662">
        <f>IF(D93="","-",+C121+1)</f>
        <v>2045</v>
      </c>
      <c r="D122" s="663">
        <f>IF(F121+SUM(E$99:E121)=D$92,F121,D$92-SUM(E$99:E121))</f>
        <v>33788</v>
      </c>
      <c r="E122" s="69">
        <f t="shared" si="16"/>
        <v>1690</v>
      </c>
      <c r="F122" s="664">
        <f t="shared" si="17"/>
        <v>32098</v>
      </c>
      <c r="G122" s="664">
        <f t="shared" si="18"/>
        <v>32943</v>
      </c>
      <c r="H122" s="130">
        <f t="shared" si="12"/>
        <v>5241.625870628297</v>
      </c>
      <c r="I122" s="139">
        <f t="shared" si="13"/>
        <v>5241.625870628297</v>
      </c>
      <c r="J122" s="669">
        <f t="shared" si="14"/>
        <v>0</v>
      </c>
      <c r="K122" s="669"/>
      <c r="L122" s="132"/>
      <c r="M122" s="669">
        <f t="shared" si="9"/>
        <v>0</v>
      </c>
      <c r="N122" s="132"/>
      <c r="O122" s="669">
        <f t="shared" si="10"/>
        <v>0</v>
      </c>
      <c r="P122" s="669">
        <f t="shared" si="11"/>
        <v>0</v>
      </c>
    </row>
    <row r="123" spans="2:16">
      <c r="B123" s="9" t="str">
        <f t="shared" si="15"/>
        <v/>
      </c>
      <c r="C123" s="662">
        <f>IF(D93="","-",+C122+1)</f>
        <v>2046</v>
      </c>
      <c r="D123" s="663">
        <f>IF(F122+SUM(E$99:E122)=D$92,F122,D$92-SUM(E$99:E122))</f>
        <v>32098</v>
      </c>
      <c r="E123" s="69">
        <f t="shared" si="16"/>
        <v>1690</v>
      </c>
      <c r="F123" s="664">
        <f t="shared" si="17"/>
        <v>30408</v>
      </c>
      <c r="G123" s="664">
        <f t="shared" si="18"/>
        <v>31253</v>
      </c>
      <c r="H123" s="130">
        <f t="shared" si="12"/>
        <v>5059.4248652140413</v>
      </c>
      <c r="I123" s="139">
        <f t="shared" si="13"/>
        <v>5059.4248652140413</v>
      </c>
      <c r="J123" s="669">
        <f t="shared" si="14"/>
        <v>0</v>
      </c>
      <c r="K123" s="669"/>
      <c r="L123" s="132"/>
      <c r="M123" s="669">
        <f t="shared" si="9"/>
        <v>0</v>
      </c>
      <c r="N123" s="132"/>
      <c r="O123" s="669">
        <f t="shared" si="10"/>
        <v>0</v>
      </c>
      <c r="P123" s="669">
        <f t="shared" si="11"/>
        <v>0</v>
      </c>
    </row>
    <row r="124" spans="2:16">
      <c r="B124" s="9" t="str">
        <f t="shared" si="15"/>
        <v/>
      </c>
      <c r="C124" s="662">
        <f>IF(D93="","-",+C123+1)</f>
        <v>2047</v>
      </c>
      <c r="D124" s="663">
        <f>IF(F123+SUM(E$99:E123)=D$92,F123,D$92-SUM(E$99:E123))</f>
        <v>30408</v>
      </c>
      <c r="E124" s="69">
        <f t="shared" si="16"/>
        <v>1690</v>
      </c>
      <c r="F124" s="664">
        <f t="shared" si="17"/>
        <v>28718</v>
      </c>
      <c r="G124" s="664">
        <f t="shared" si="18"/>
        <v>29563</v>
      </c>
      <c r="H124" s="130">
        <f t="shared" si="12"/>
        <v>4877.2238597997857</v>
      </c>
      <c r="I124" s="139">
        <f t="shared" si="13"/>
        <v>4877.2238597997857</v>
      </c>
      <c r="J124" s="669">
        <f t="shared" si="14"/>
        <v>0</v>
      </c>
      <c r="K124" s="669"/>
      <c r="L124" s="132"/>
      <c r="M124" s="669">
        <f t="shared" si="9"/>
        <v>0</v>
      </c>
      <c r="N124" s="132"/>
      <c r="O124" s="669">
        <f t="shared" si="10"/>
        <v>0</v>
      </c>
      <c r="P124" s="669">
        <f t="shared" si="11"/>
        <v>0</v>
      </c>
    </row>
    <row r="125" spans="2:16">
      <c r="B125" s="9" t="str">
        <f t="shared" si="15"/>
        <v/>
      </c>
      <c r="C125" s="662">
        <f>IF(D93="","-",+C124+1)</f>
        <v>2048</v>
      </c>
      <c r="D125" s="663">
        <f>IF(F124+SUM(E$99:E124)=D$92,F124,D$92-SUM(E$99:E124))</f>
        <v>28718</v>
      </c>
      <c r="E125" s="69">
        <f t="shared" si="16"/>
        <v>1690</v>
      </c>
      <c r="F125" s="664">
        <f t="shared" si="17"/>
        <v>27028</v>
      </c>
      <c r="G125" s="664">
        <f t="shared" si="18"/>
        <v>27873</v>
      </c>
      <c r="H125" s="130">
        <f t="shared" si="12"/>
        <v>4695.0228543855301</v>
      </c>
      <c r="I125" s="139">
        <f t="shared" si="13"/>
        <v>4695.0228543855301</v>
      </c>
      <c r="J125" s="669">
        <f t="shared" si="14"/>
        <v>0</v>
      </c>
      <c r="K125" s="669"/>
      <c r="L125" s="132"/>
      <c r="M125" s="669">
        <f t="shared" si="9"/>
        <v>0</v>
      </c>
      <c r="N125" s="132"/>
      <c r="O125" s="669">
        <f t="shared" si="10"/>
        <v>0</v>
      </c>
      <c r="P125" s="669">
        <f t="shared" si="11"/>
        <v>0</v>
      </c>
    </row>
    <row r="126" spans="2:16">
      <c r="B126" s="9" t="str">
        <f t="shared" si="15"/>
        <v/>
      </c>
      <c r="C126" s="662">
        <f>IF(D93="","-",+C125+1)</f>
        <v>2049</v>
      </c>
      <c r="D126" s="663">
        <f>IF(F125+SUM(E$99:E125)=D$92,F125,D$92-SUM(E$99:E125))</f>
        <v>27028</v>
      </c>
      <c r="E126" s="69">
        <f t="shared" si="16"/>
        <v>1690</v>
      </c>
      <c r="F126" s="664">
        <f t="shared" si="17"/>
        <v>25338</v>
      </c>
      <c r="G126" s="664">
        <f t="shared" si="18"/>
        <v>26183</v>
      </c>
      <c r="H126" s="130">
        <f t="shared" si="12"/>
        <v>4512.8218489712744</v>
      </c>
      <c r="I126" s="139">
        <f t="shared" si="13"/>
        <v>4512.8218489712744</v>
      </c>
      <c r="J126" s="669">
        <f t="shared" si="14"/>
        <v>0</v>
      </c>
      <c r="K126" s="669"/>
      <c r="L126" s="132"/>
      <c r="M126" s="669">
        <f t="shared" si="9"/>
        <v>0</v>
      </c>
      <c r="N126" s="132"/>
      <c r="O126" s="669">
        <f t="shared" si="10"/>
        <v>0</v>
      </c>
      <c r="P126" s="669">
        <f t="shared" si="11"/>
        <v>0</v>
      </c>
    </row>
    <row r="127" spans="2:16">
      <c r="B127" s="9" t="str">
        <f t="shared" si="15"/>
        <v/>
      </c>
      <c r="C127" s="662">
        <f>IF(D93="","-",+C126+1)</f>
        <v>2050</v>
      </c>
      <c r="D127" s="663">
        <f>IF(F126+SUM(E$99:E126)=D$92,F126,D$92-SUM(E$99:E126))</f>
        <v>25338</v>
      </c>
      <c r="E127" s="69">
        <f t="shared" si="16"/>
        <v>1690</v>
      </c>
      <c r="F127" s="664">
        <f t="shared" si="17"/>
        <v>23648</v>
      </c>
      <c r="G127" s="664">
        <f t="shared" si="18"/>
        <v>24493</v>
      </c>
      <c r="H127" s="130">
        <f t="shared" si="12"/>
        <v>4330.6208435570188</v>
      </c>
      <c r="I127" s="139">
        <f t="shared" si="13"/>
        <v>4330.6208435570188</v>
      </c>
      <c r="J127" s="669">
        <f t="shared" si="14"/>
        <v>0</v>
      </c>
      <c r="K127" s="669"/>
      <c r="L127" s="132"/>
      <c r="M127" s="669">
        <f t="shared" si="9"/>
        <v>0</v>
      </c>
      <c r="N127" s="132"/>
      <c r="O127" s="669">
        <f t="shared" si="10"/>
        <v>0</v>
      </c>
      <c r="P127" s="669">
        <f t="shared" si="11"/>
        <v>0</v>
      </c>
    </row>
    <row r="128" spans="2:16">
      <c r="B128" s="9" t="str">
        <f t="shared" si="15"/>
        <v/>
      </c>
      <c r="C128" s="662">
        <f>IF(D93="","-",+C127+1)</f>
        <v>2051</v>
      </c>
      <c r="D128" s="663">
        <f>IF(F127+SUM(E$99:E127)=D$92,F127,D$92-SUM(E$99:E127))</f>
        <v>23648</v>
      </c>
      <c r="E128" s="69">
        <f t="shared" si="16"/>
        <v>1690</v>
      </c>
      <c r="F128" s="664">
        <f t="shared" si="17"/>
        <v>21958</v>
      </c>
      <c r="G128" s="664">
        <f t="shared" si="18"/>
        <v>22803</v>
      </c>
      <c r="H128" s="130">
        <f t="shared" si="12"/>
        <v>4148.4198381427632</v>
      </c>
      <c r="I128" s="139">
        <f t="shared" si="13"/>
        <v>4148.4198381427632</v>
      </c>
      <c r="J128" s="669">
        <f t="shared" si="14"/>
        <v>0</v>
      </c>
      <c r="K128" s="669"/>
      <c r="L128" s="132"/>
      <c r="M128" s="669">
        <f t="shared" si="9"/>
        <v>0</v>
      </c>
      <c r="N128" s="132"/>
      <c r="O128" s="669">
        <f t="shared" si="10"/>
        <v>0</v>
      </c>
      <c r="P128" s="669">
        <f t="shared" si="11"/>
        <v>0</v>
      </c>
    </row>
    <row r="129" spans="2:16">
      <c r="B129" s="9" t="str">
        <f t="shared" si="15"/>
        <v/>
      </c>
      <c r="C129" s="662">
        <f>IF(D93="","-",+C128+1)</f>
        <v>2052</v>
      </c>
      <c r="D129" s="663">
        <f>IF(F128+SUM(E$99:E128)=D$92,F128,D$92-SUM(E$99:E128))</f>
        <v>21958</v>
      </c>
      <c r="E129" s="69">
        <f t="shared" si="16"/>
        <v>1690</v>
      </c>
      <c r="F129" s="664">
        <f t="shared" si="17"/>
        <v>20268</v>
      </c>
      <c r="G129" s="664">
        <f t="shared" si="18"/>
        <v>21113</v>
      </c>
      <c r="H129" s="130">
        <f t="shared" si="12"/>
        <v>3966.2188327285076</v>
      </c>
      <c r="I129" s="139">
        <f t="shared" si="13"/>
        <v>3966.2188327285076</v>
      </c>
      <c r="J129" s="669">
        <f t="shared" si="14"/>
        <v>0</v>
      </c>
      <c r="K129" s="669"/>
      <c r="L129" s="132"/>
      <c r="M129" s="669">
        <f t="shared" si="9"/>
        <v>0</v>
      </c>
      <c r="N129" s="132"/>
      <c r="O129" s="669">
        <f t="shared" si="10"/>
        <v>0</v>
      </c>
      <c r="P129" s="669">
        <f t="shared" si="11"/>
        <v>0</v>
      </c>
    </row>
    <row r="130" spans="2:16">
      <c r="B130" s="9" t="str">
        <f t="shared" si="15"/>
        <v/>
      </c>
      <c r="C130" s="662">
        <f>IF(D93="","-",+C129+1)</f>
        <v>2053</v>
      </c>
      <c r="D130" s="663">
        <f>IF(F129+SUM(E$99:E129)=D$92,F129,D$92-SUM(E$99:E129))</f>
        <v>20268</v>
      </c>
      <c r="E130" s="69">
        <f t="shared" si="16"/>
        <v>1690</v>
      </c>
      <c r="F130" s="664">
        <f t="shared" si="17"/>
        <v>18578</v>
      </c>
      <c r="G130" s="664">
        <f t="shared" si="18"/>
        <v>19423</v>
      </c>
      <c r="H130" s="130">
        <f t="shared" si="12"/>
        <v>3784.0178273142519</v>
      </c>
      <c r="I130" s="139">
        <f t="shared" si="13"/>
        <v>3784.0178273142519</v>
      </c>
      <c r="J130" s="669">
        <f t="shared" si="14"/>
        <v>0</v>
      </c>
      <c r="K130" s="669"/>
      <c r="L130" s="132"/>
      <c r="M130" s="669">
        <f t="shared" si="9"/>
        <v>0</v>
      </c>
      <c r="N130" s="132"/>
      <c r="O130" s="669">
        <f t="shared" si="10"/>
        <v>0</v>
      </c>
      <c r="P130" s="669">
        <f t="shared" si="11"/>
        <v>0</v>
      </c>
    </row>
    <row r="131" spans="2:16">
      <c r="B131" s="9" t="str">
        <f t="shared" si="15"/>
        <v/>
      </c>
      <c r="C131" s="662">
        <f>IF(D93="","-",+C130+1)</f>
        <v>2054</v>
      </c>
      <c r="D131" s="663">
        <f>IF(F130+SUM(E$99:E130)=D$92,F130,D$92-SUM(E$99:E130))</f>
        <v>18578</v>
      </c>
      <c r="E131" s="69">
        <f t="shared" si="16"/>
        <v>1690</v>
      </c>
      <c r="F131" s="664">
        <f t="shared" si="17"/>
        <v>16888</v>
      </c>
      <c r="G131" s="664">
        <f t="shared" si="18"/>
        <v>17733</v>
      </c>
      <c r="H131" s="130">
        <f t="shared" si="12"/>
        <v>3601.8168218999963</v>
      </c>
      <c r="I131" s="139">
        <f t="shared" si="13"/>
        <v>3601.8168218999963</v>
      </c>
      <c r="J131" s="669">
        <f t="shared" ref="J131:J154" si="19">+I541-H541</f>
        <v>0</v>
      </c>
      <c r="K131" s="669"/>
      <c r="L131" s="132"/>
      <c r="M131" s="669">
        <f t="shared" ref="M131:M154" si="20">IF(L541&lt;&gt;0,+H541-L541,0)</f>
        <v>0</v>
      </c>
      <c r="N131" s="132"/>
      <c r="O131" s="669">
        <f t="shared" ref="O131:O154" si="21">IF(N541&lt;&gt;0,+I541-N541,0)</f>
        <v>0</v>
      </c>
      <c r="P131" s="669">
        <f t="shared" ref="P131:P154" si="22">+O541-M541</f>
        <v>0</v>
      </c>
    </row>
    <row r="132" spans="2:16">
      <c r="B132" s="9" t="str">
        <f t="shared" si="15"/>
        <v/>
      </c>
      <c r="C132" s="662">
        <f>IF(D93="","-",+C131+1)</f>
        <v>2055</v>
      </c>
      <c r="D132" s="663">
        <f>IF(F131+SUM(E$99:E131)=D$92,F131,D$92-SUM(E$99:E131))</f>
        <v>16888</v>
      </c>
      <c r="E132" s="69">
        <f t="shared" si="16"/>
        <v>1690</v>
      </c>
      <c r="F132" s="664">
        <f t="shared" si="17"/>
        <v>15198</v>
      </c>
      <c r="G132" s="664">
        <f t="shared" si="18"/>
        <v>16043</v>
      </c>
      <c r="H132" s="130">
        <f t="shared" si="12"/>
        <v>3419.6158164857407</v>
      </c>
      <c r="I132" s="139">
        <f t="shared" si="13"/>
        <v>3419.6158164857407</v>
      </c>
      <c r="J132" s="669">
        <f t="shared" si="19"/>
        <v>0</v>
      </c>
      <c r="K132" s="669"/>
      <c r="L132" s="132"/>
      <c r="M132" s="669">
        <f t="shared" si="20"/>
        <v>0</v>
      </c>
      <c r="N132" s="132"/>
      <c r="O132" s="669">
        <f t="shared" si="21"/>
        <v>0</v>
      </c>
      <c r="P132" s="669">
        <f t="shared" si="22"/>
        <v>0</v>
      </c>
    </row>
    <row r="133" spans="2:16">
      <c r="B133" s="9" t="str">
        <f t="shared" si="15"/>
        <v/>
      </c>
      <c r="C133" s="662">
        <f>IF(D93="","-",+C132+1)</f>
        <v>2056</v>
      </c>
      <c r="D133" s="663">
        <f>IF(F132+SUM(E$99:E132)=D$92,F132,D$92-SUM(E$99:E132))</f>
        <v>15198</v>
      </c>
      <c r="E133" s="69">
        <f t="shared" si="16"/>
        <v>1690</v>
      </c>
      <c r="F133" s="664">
        <f t="shared" si="17"/>
        <v>13508</v>
      </c>
      <c r="G133" s="664">
        <f t="shared" si="18"/>
        <v>14353</v>
      </c>
      <c r="H133" s="130">
        <f t="shared" si="12"/>
        <v>3237.4148110714855</v>
      </c>
      <c r="I133" s="139">
        <f t="shared" si="13"/>
        <v>3237.4148110714855</v>
      </c>
      <c r="J133" s="669">
        <f t="shared" si="19"/>
        <v>0</v>
      </c>
      <c r="K133" s="669"/>
      <c r="L133" s="132"/>
      <c r="M133" s="669">
        <f t="shared" si="20"/>
        <v>0</v>
      </c>
      <c r="N133" s="132"/>
      <c r="O133" s="669">
        <f t="shared" si="21"/>
        <v>0</v>
      </c>
      <c r="P133" s="669">
        <f t="shared" si="22"/>
        <v>0</v>
      </c>
    </row>
    <row r="134" spans="2:16">
      <c r="B134" s="9" t="str">
        <f t="shared" si="15"/>
        <v/>
      </c>
      <c r="C134" s="662">
        <f>IF(D93="","-",+C133+1)</f>
        <v>2057</v>
      </c>
      <c r="D134" s="663">
        <f>IF(F133+SUM(E$99:E133)=D$92,F133,D$92-SUM(E$99:E133))</f>
        <v>13508</v>
      </c>
      <c r="E134" s="69">
        <f t="shared" si="16"/>
        <v>1690</v>
      </c>
      <c r="F134" s="664">
        <f t="shared" si="17"/>
        <v>11818</v>
      </c>
      <c r="G134" s="664">
        <f t="shared" si="18"/>
        <v>12663</v>
      </c>
      <c r="H134" s="130">
        <f t="shared" si="12"/>
        <v>3055.2138056572298</v>
      </c>
      <c r="I134" s="139">
        <f t="shared" si="13"/>
        <v>3055.2138056572298</v>
      </c>
      <c r="J134" s="669">
        <f t="shared" si="19"/>
        <v>0</v>
      </c>
      <c r="K134" s="669"/>
      <c r="L134" s="132"/>
      <c r="M134" s="669">
        <f t="shared" si="20"/>
        <v>0</v>
      </c>
      <c r="N134" s="132"/>
      <c r="O134" s="669">
        <f t="shared" si="21"/>
        <v>0</v>
      </c>
      <c r="P134" s="669">
        <f t="shared" si="22"/>
        <v>0</v>
      </c>
    </row>
    <row r="135" spans="2:16">
      <c r="B135" s="9" t="str">
        <f t="shared" si="15"/>
        <v/>
      </c>
      <c r="C135" s="662">
        <f>IF(D93="","-",+C134+1)</f>
        <v>2058</v>
      </c>
      <c r="D135" s="663">
        <f>IF(F134+SUM(E$99:E134)=D$92,F134,D$92-SUM(E$99:E134))</f>
        <v>11818</v>
      </c>
      <c r="E135" s="69">
        <f t="shared" si="16"/>
        <v>1690</v>
      </c>
      <c r="F135" s="664">
        <f t="shared" si="17"/>
        <v>10128</v>
      </c>
      <c r="G135" s="664">
        <f t="shared" si="18"/>
        <v>10973</v>
      </c>
      <c r="H135" s="130">
        <f t="shared" si="12"/>
        <v>2873.0128002429742</v>
      </c>
      <c r="I135" s="139">
        <f t="shared" si="13"/>
        <v>2873.0128002429742</v>
      </c>
      <c r="J135" s="669">
        <f t="shared" si="19"/>
        <v>0</v>
      </c>
      <c r="K135" s="669"/>
      <c r="L135" s="132"/>
      <c r="M135" s="669">
        <f t="shared" si="20"/>
        <v>0</v>
      </c>
      <c r="N135" s="132"/>
      <c r="O135" s="669">
        <f t="shared" si="21"/>
        <v>0</v>
      </c>
      <c r="P135" s="669">
        <f t="shared" si="22"/>
        <v>0</v>
      </c>
    </row>
    <row r="136" spans="2:16">
      <c r="B136" s="9" t="str">
        <f t="shared" si="15"/>
        <v/>
      </c>
      <c r="C136" s="662">
        <f>IF(D93="","-",+C135+1)</f>
        <v>2059</v>
      </c>
      <c r="D136" s="663">
        <f>IF(F135+SUM(E$99:E135)=D$92,F135,D$92-SUM(E$99:E135))</f>
        <v>10128</v>
      </c>
      <c r="E136" s="69">
        <f t="shared" si="16"/>
        <v>1690</v>
      </c>
      <c r="F136" s="664">
        <f t="shared" si="17"/>
        <v>8438</v>
      </c>
      <c r="G136" s="664">
        <f t="shared" si="18"/>
        <v>9283</v>
      </c>
      <c r="H136" s="130">
        <f t="shared" si="12"/>
        <v>2690.8117948287186</v>
      </c>
      <c r="I136" s="139">
        <f t="shared" si="13"/>
        <v>2690.8117948287186</v>
      </c>
      <c r="J136" s="669">
        <f t="shared" si="19"/>
        <v>0</v>
      </c>
      <c r="K136" s="669"/>
      <c r="L136" s="132"/>
      <c r="M136" s="669">
        <f t="shared" si="20"/>
        <v>0</v>
      </c>
      <c r="N136" s="132"/>
      <c r="O136" s="669">
        <f t="shared" si="21"/>
        <v>0</v>
      </c>
      <c r="P136" s="669">
        <f t="shared" si="22"/>
        <v>0</v>
      </c>
    </row>
    <row r="137" spans="2:16">
      <c r="B137" s="9" t="str">
        <f t="shared" si="15"/>
        <v/>
      </c>
      <c r="C137" s="662">
        <f>IF(D93="","-",+C136+1)</f>
        <v>2060</v>
      </c>
      <c r="D137" s="663">
        <f>IF(F136+SUM(E$99:E136)=D$92,F136,D$92-SUM(E$99:E136))</f>
        <v>8438</v>
      </c>
      <c r="E137" s="69">
        <f t="shared" si="16"/>
        <v>1690</v>
      </c>
      <c r="F137" s="664">
        <f t="shared" si="17"/>
        <v>6748</v>
      </c>
      <c r="G137" s="664">
        <f t="shared" si="18"/>
        <v>7593</v>
      </c>
      <c r="H137" s="130">
        <f t="shared" si="12"/>
        <v>2508.6107894144629</v>
      </c>
      <c r="I137" s="139">
        <f t="shared" si="13"/>
        <v>2508.6107894144629</v>
      </c>
      <c r="J137" s="669">
        <f t="shared" si="19"/>
        <v>0</v>
      </c>
      <c r="K137" s="669"/>
      <c r="L137" s="132"/>
      <c r="M137" s="669">
        <f t="shared" si="20"/>
        <v>0</v>
      </c>
      <c r="N137" s="132"/>
      <c r="O137" s="669">
        <f t="shared" si="21"/>
        <v>0</v>
      </c>
      <c r="P137" s="669">
        <f t="shared" si="22"/>
        <v>0</v>
      </c>
    </row>
    <row r="138" spans="2:16">
      <c r="B138" s="9" t="str">
        <f t="shared" si="15"/>
        <v/>
      </c>
      <c r="C138" s="662">
        <f>IF(D93="","-",+C137+1)</f>
        <v>2061</v>
      </c>
      <c r="D138" s="663">
        <f>IF(F137+SUM(E$99:E137)=D$92,F137,D$92-SUM(E$99:E137))</f>
        <v>6748</v>
      </c>
      <c r="E138" s="69">
        <f t="shared" si="16"/>
        <v>1690</v>
      </c>
      <c r="F138" s="664">
        <f t="shared" si="17"/>
        <v>5058</v>
      </c>
      <c r="G138" s="664">
        <f t="shared" si="18"/>
        <v>5903</v>
      </c>
      <c r="H138" s="130">
        <f t="shared" si="12"/>
        <v>2326.4097840002078</v>
      </c>
      <c r="I138" s="139">
        <f t="shared" si="13"/>
        <v>2326.4097840002078</v>
      </c>
      <c r="J138" s="669">
        <f t="shared" si="19"/>
        <v>0</v>
      </c>
      <c r="K138" s="669"/>
      <c r="L138" s="132"/>
      <c r="M138" s="669">
        <f t="shared" si="20"/>
        <v>0</v>
      </c>
      <c r="N138" s="132"/>
      <c r="O138" s="669">
        <f t="shared" si="21"/>
        <v>0</v>
      </c>
      <c r="P138" s="669">
        <f t="shared" si="22"/>
        <v>0</v>
      </c>
    </row>
    <row r="139" spans="2:16">
      <c r="B139" s="9" t="str">
        <f t="shared" si="15"/>
        <v/>
      </c>
      <c r="C139" s="662">
        <f>IF(D93="","-",+C138+1)</f>
        <v>2062</v>
      </c>
      <c r="D139" s="663">
        <f>IF(F138+SUM(E$99:E138)=D$92,F138,D$92-SUM(E$99:E138))</f>
        <v>5058</v>
      </c>
      <c r="E139" s="69">
        <f t="shared" si="16"/>
        <v>1690</v>
      </c>
      <c r="F139" s="664">
        <f t="shared" si="17"/>
        <v>3368</v>
      </c>
      <c r="G139" s="664">
        <f t="shared" si="18"/>
        <v>4213</v>
      </c>
      <c r="H139" s="130">
        <f t="shared" si="12"/>
        <v>2144.2087785859521</v>
      </c>
      <c r="I139" s="139">
        <f t="shared" si="13"/>
        <v>2144.2087785859521</v>
      </c>
      <c r="J139" s="669">
        <f t="shared" si="19"/>
        <v>0</v>
      </c>
      <c r="K139" s="669"/>
      <c r="L139" s="132"/>
      <c r="M139" s="669">
        <f t="shared" si="20"/>
        <v>0</v>
      </c>
      <c r="N139" s="132"/>
      <c r="O139" s="669">
        <f t="shared" si="21"/>
        <v>0</v>
      </c>
      <c r="P139" s="669">
        <f t="shared" si="22"/>
        <v>0</v>
      </c>
    </row>
    <row r="140" spans="2:16">
      <c r="B140" s="9" t="str">
        <f t="shared" si="15"/>
        <v/>
      </c>
      <c r="C140" s="662">
        <f>IF(D93="","-",+C139+1)</f>
        <v>2063</v>
      </c>
      <c r="D140" s="663">
        <f>IF(F139+SUM(E$99:E139)=D$92,F139,D$92-SUM(E$99:E139))</f>
        <v>3368</v>
      </c>
      <c r="E140" s="69">
        <f t="shared" si="16"/>
        <v>1690</v>
      </c>
      <c r="F140" s="664">
        <f t="shared" si="17"/>
        <v>1678</v>
      </c>
      <c r="G140" s="664">
        <f t="shared" si="18"/>
        <v>2523</v>
      </c>
      <c r="H140" s="130">
        <f t="shared" si="12"/>
        <v>1962.0077731716963</v>
      </c>
      <c r="I140" s="139">
        <f t="shared" si="13"/>
        <v>1962.0077731716963</v>
      </c>
      <c r="J140" s="669">
        <f t="shared" si="19"/>
        <v>0</v>
      </c>
      <c r="K140" s="669"/>
      <c r="L140" s="132"/>
      <c r="M140" s="669">
        <f t="shared" si="20"/>
        <v>0</v>
      </c>
      <c r="N140" s="132"/>
      <c r="O140" s="669">
        <f t="shared" si="21"/>
        <v>0</v>
      </c>
      <c r="P140" s="669">
        <f t="shared" si="22"/>
        <v>0</v>
      </c>
    </row>
    <row r="141" spans="2:16">
      <c r="B141" s="9" t="str">
        <f t="shared" si="15"/>
        <v/>
      </c>
      <c r="C141" s="662">
        <f>IF(D93="","-",+C140+1)</f>
        <v>2064</v>
      </c>
      <c r="D141" s="663">
        <f>IF(F140+SUM(E$99:E140)=D$92,F140,D$92-SUM(E$99:E140))</f>
        <v>1678</v>
      </c>
      <c r="E141" s="69">
        <f t="shared" si="16"/>
        <v>1678</v>
      </c>
      <c r="F141" s="664">
        <f t="shared" si="17"/>
        <v>0</v>
      </c>
      <c r="G141" s="664">
        <f t="shared" si="18"/>
        <v>839</v>
      </c>
      <c r="H141" s="130">
        <f t="shared" si="12"/>
        <v>1768.4536352322843</v>
      </c>
      <c r="I141" s="139">
        <f t="shared" si="13"/>
        <v>1768.4536352322843</v>
      </c>
      <c r="J141" s="669">
        <f t="shared" si="19"/>
        <v>0</v>
      </c>
      <c r="K141" s="669"/>
      <c r="L141" s="132"/>
      <c r="M141" s="669">
        <f t="shared" si="20"/>
        <v>0</v>
      </c>
      <c r="N141" s="132"/>
      <c r="O141" s="669">
        <f t="shared" si="21"/>
        <v>0</v>
      </c>
      <c r="P141" s="669">
        <f t="shared" si="22"/>
        <v>0</v>
      </c>
    </row>
    <row r="142" spans="2:16">
      <c r="B142" s="9" t="str">
        <f t="shared" si="15"/>
        <v/>
      </c>
      <c r="C142" s="662">
        <f>IF(D93="","-",+C141+1)</f>
        <v>2065</v>
      </c>
      <c r="D142" s="663">
        <f>IF(F141+SUM(E$99:E141)=D$92,F141,D$92-SUM(E$99:E141))</f>
        <v>0</v>
      </c>
      <c r="E142" s="69">
        <f t="shared" si="16"/>
        <v>0</v>
      </c>
      <c r="F142" s="664">
        <f t="shared" si="17"/>
        <v>0</v>
      </c>
      <c r="G142" s="664">
        <f t="shared" si="18"/>
        <v>0</v>
      </c>
      <c r="H142" s="130">
        <f t="shared" si="12"/>
        <v>0</v>
      </c>
      <c r="I142" s="139">
        <f t="shared" si="13"/>
        <v>0</v>
      </c>
      <c r="J142" s="669">
        <f t="shared" si="19"/>
        <v>0</v>
      </c>
      <c r="K142" s="669"/>
      <c r="L142" s="132"/>
      <c r="M142" s="669">
        <f t="shared" si="20"/>
        <v>0</v>
      </c>
      <c r="N142" s="132"/>
      <c r="O142" s="669">
        <f t="shared" si="21"/>
        <v>0</v>
      </c>
      <c r="P142" s="669">
        <f t="shared" si="22"/>
        <v>0</v>
      </c>
    </row>
    <row r="143" spans="2:16">
      <c r="B143" s="9" t="str">
        <f t="shared" si="15"/>
        <v/>
      </c>
      <c r="C143" s="662">
        <f>IF(D93="","-",+C142+1)</f>
        <v>2066</v>
      </c>
      <c r="D143" s="663">
        <f>IF(F142+SUM(E$99:E142)=D$92,F142,D$92-SUM(E$99:E142))</f>
        <v>0</v>
      </c>
      <c r="E143" s="69">
        <f t="shared" si="16"/>
        <v>0</v>
      </c>
      <c r="F143" s="664">
        <f t="shared" si="17"/>
        <v>0</v>
      </c>
      <c r="G143" s="664">
        <f t="shared" si="18"/>
        <v>0</v>
      </c>
      <c r="H143" s="130">
        <f t="shared" si="12"/>
        <v>0</v>
      </c>
      <c r="I143" s="139">
        <f t="shared" si="13"/>
        <v>0</v>
      </c>
      <c r="J143" s="669">
        <f t="shared" si="19"/>
        <v>0</v>
      </c>
      <c r="K143" s="669"/>
      <c r="L143" s="132"/>
      <c r="M143" s="669">
        <f t="shared" si="20"/>
        <v>0</v>
      </c>
      <c r="N143" s="132"/>
      <c r="O143" s="669">
        <f t="shared" si="21"/>
        <v>0</v>
      </c>
      <c r="P143" s="669">
        <f t="shared" si="22"/>
        <v>0</v>
      </c>
    </row>
    <row r="144" spans="2:16">
      <c r="B144" s="9" t="str">
        <f t="shared" si="15"/>
        <v/>
      </c>
      <c r="C144" s="662">
        <f>IF(D93="","-",+C143+1)</f>
        <v>2067</v>
      </c>
      <c r="D144" s="663">
        <f>IF(F143+SUM(E$99:E143)=D$92,F143,D$92-SUM(E$99:E143))</f>
        <v>0</v>
      </c>
      <c r="E144" s="69">
        <f t="shared" si="16"/>
        <v>0</v>
      </c>
      <c r="F144" s="664">
        <f t="shared" si="17"/>
        <v>0</v>
      </c>
      <c r="G144" s="664">
        <f t="shared" si="18"/>
        <v>0</v>
      </c>
      <c r="H144" s="130">
        <f t="shared" si="12"/>
        <v>0</v>
      </c>
      <c r="I144" s="139">
        <f t="shared" si="13"/>
        <v>0</v>
      </c>
      <c r="J144" s="669">
        <f t="shared" si="19"/>
        <v>0</v>
      </c>
      <c r="K144" s="669"/>
      <c r="L144" s="132"/>
      <c r="M144" s="669">
        <f t="shared" si="20"/>
        <v>0</v>
      </c>
      <c r="N144" s="132"/>
      <c r="O144" s="669">
        <f t="shared" si="21"/>
        <v>0</v>
      </c>
      <c r="P144" s="669">
        <f t="shared" si="22"/>
        <v>0</v>
      </c>
    </row>
    <row r="145" spans="2:16">
      <c r="B145" s="9" t="str">
        <f t="shared" si="15"/>
        <v/>
      </c>
      <c r="C145" s="662">
        <f>IF(D93="","-",+C144+1)</f>
        <v>2068</v>
      </c>
      <c r="D145" s="663">
        <f>IF(F144+SUM(E$99:E144)=D$92,F144,D$92-SUM(E$99:E144))</f>
        <v>0</v>
      </c>
      <c r="E145" s="69">
        <f t="shared" si="16"/>
        <v>0</v>
      </c>
      <c r="F145" s="664">
        <f t="shared" si="17"/>
        <v>0</v>
      </c>
      <c r="G145" s="664">
        <f t="shared" si="18"/>
        <v>0</v>
      </c>
      <c r="H145" s="130">
        <f t="shared" si="12"/>
        <v>0</v>
      </c>
      <c r="I145" s="139">
        <f t="shared" si="13"/>
        <v>0</v>
      </c>
      <c r="J145" s="669">
        <f t="shared" si="19"/>
        <v>0</v>
      </c>
      <c r="K145" s="669"/>
      <c r="L145" s="132"/>
      <c r="M145" s="669">
        <f t="shared" si="20"/>
        <v>0</v>
      </c>
      <c r="N145" s="132"/>
      <c r="O145" s="669">
        <f t="shared" si="21"/>
        <v>0</v>
      </c>
      <c r="P145" s="669">
        <f t="shared" si="22"/>
        <v>0</v>
      </c>
    </row>
    <row r="146" spans="2:16">
      <c r="B146" s="9" t="str">
        <f t="shared" si="15"/>
        <v/>
      </c>
      <c r="C146" s="662">
        <f>IF(D93="","-",+C145+1)</f>
        <v>2069</v>
      </c>
      <c r="D146" s="663">
        <f>IF(F145+SUM(E$99:E145)=D$92,F145,D$92-SUM(E$99:E145))</f>
        <v>0</v>
      </c>
      <c r="E146" s="69">
        <f t="shared" si="16"/>
        <v>0</v>
      </c>
      <c r="F146" s="664">
        <f t="shared" si="17"/>
        <v>0</v>
      </c>
      <c r="G146" s="664">
        <f t="shared" si="18"/>
        <v>0</v>
      </c>
      <c r="H146" s="130">
        <f t="shared" si="12"/>
        <v>0</v>
      </c>
      <c r="I146" s="139">
        <f t="shared" si="13"/>
        <v>0</v>
      </c>
      <c r="J146" s="669">
        <f t="shared" si="19"/>
        <v>0</v>
      </c>
      <c r="K146" s="669"/>
      <c r="L146" s="132"/>
      <c r="M146" s="669">
        <f t="shared" si="20"/>
        <v>0</v>
      </c>
      <c r="N146" s="132"/>
      <c r="O146" s="669">
        <f t="shared" si="21"/>
        <v>0</v>
      </c>
      <c r="P146" s="669">
        <f t="shared" si="22"/>
        <v>0</v>
      </c>
    </row>
    <row r="147" spans="2:16">
      <c r="B147" s="9" t="str">
        <f t="shared" si="15"/>
        <v/>
      </c>
      <c r="C147" s="662">
        <f>IF(D93="","-",+C146+1)</f>
        <v>2070</v>
      </c>
      <c r="D147" s="663">
        <f>IF(F146+SUM(E$99:E146)=D$92,F146,D$92-SUM(E$99:E146))</f>
        <v>0</v>
      </c>
      <c r="E147" s="69">
        <f t="shared" si="16"/>
        <v>0</v>
      </c>
      <c r="F147" s="664">
        <f t="shared" si="17"/>
        <v>0</v>
      </c>
      <c r="G147" s="664">
        <f t="shared" si="18"/>
        <v>0</v>
      </c>
      <c r="H147" s="130">
        <f t="shared" si="12"/>
        <v>0</v>
      </c>
      <c r="I147" s="139">
        <f t="shared" si="13"/>
        <v>0</v>
      </c>
      <c r="J147" s="669">
        <f t="shared" si="19"/>
        <v>0</v>
      </c>
      <c r="K147" s="669"/>
      <c r="L147" s="132"/>
      <c r="M147" s="669">
        <f t="shared" si="20"/>
        <v>0</v>
      </c>
      <c r="N147" s="132"/>
      <c r="O147" s="669">
        <f t="shared" si="21"/>
        <v>0</v>
      </c>
      <c r="P147" s="669">
        <f t="shared" si="22"/>
        <v>0</v>
      </c>
    </row>
    <row r="148" spans="2:16">
      <c r="B148" s="9" t="str">
        <f t="shared" si="15"/>
        <v/>
      </c>
      <c r="C148" s="662">
        <f>IF(D93="","-",+C147+1)</f>
        <v>2071</v>
      </c>
      <c r="D148" s="663">
        <f>IF(F147+SUM(E$99:E147)=D$92,F147,D$92-SUM(E$99:E147))</f>
        <v>0</v>
      </c>
      <c r="E148" s="69">
        <f t="shared" si="16"/>
        <v>0</v>
      </c>
      <c r="F148" s="664">
        <f t="shared" si="17"/>
        <v>0</v>
      </c>
      <c r="G148" s="664">
        <f t="shared" si="18"/>
        <v>0</v>
      </c>
      <c r="H148" s="130">
        <f t="shared" si="12"/>
        <v>0</v>
      </c>
      <c r="I148" s="139">
        <f t="shared" si="13"/>
        <v>0</v>
      </c>
      <c r="J148" s="669">
        <f t="shared" si="19"/>
        <v>0</v>
      </c>
      <c r="K148" s="669"/>
      <c r="L148" s="132"/>
      <c r="M148" s="669">
        <f t="shared" si="20"/>
        <v>0</v>
      </c>
      <c r="N148" s="132"/>
      <c r="O148" s="669">
        <f t="shared" si="21"/>
        <v>0</v>
      </c>
      <c r="P148" s="669">
        <f t="shared" si="22"/>
        <v>0</v>
      </c>
    </row>
    <row r="149" spans="2:16">
      <c r="B149" s="9" t="str">
        <f t="shared" si="15"/>
        <v/>
      </c>
      <c r="C149" s="662">
        <f>IF(D93="","-",+C148+1)</f>
        <v>2072</v>
      </c>
      <c r="D149" s="663">
        <f>IF(F148+SUM(E$99:E148)=D$92,F148,D$92-SUM(E$99:E148))</f>
        <v>0</v>
      </c>
      <c r="E149" s="69">
        <f t="shared" si="16"/>
        <v>0</v>
      </c>
      <c r="F149" s="664">
        <f t="shared" si="17"/>
        <v>0</v>
      </c>
      <c r="G149" s="664">
        <f t="shared" si="18"/>
        <v>0</v>
      </c>
      <c r="H149" s="130">
        <f t="shared" si="12"/>
        <v>0</v>
      </c>
      <c r="I149" s="139">
        <f t="shared" si="13"/>
        <v>0</v>
      </c>
      <c r="J149" s="669">
        <f t="shared" si="19"/>
        <v>0</v>
      </c>
      <c r="K149" s="669"/>
      <c r="L149" s="132"/>
      <c r="M149" s="669">
        <f t="shared" si="20"/>
        <v>0</v>
      </c>
      <c r="N149" s="132"/>
      <c r="O149" s="669">
        <f t="shared" si="21"/>
        <v>0</v>
      </c>
      <c r="P149" s="669">
        <f t="shared" si="22"/>
        <v>0</v>
      </c>
    </row>
    <row r="150" spans="2:16">
      <c r="B150" s="9" t="str">
        <f t="shared" si="15"/>
        <v/>
      </c>
      <c r="C150" s="662">
        <f>IF(D93="","-",+C149+1)</f>
        <v>2073</v>
      </c>
      <c r="D150" s="663">
        <f>IF(F149+SUM(E$99:E149)=D$92,F149,D$92-SUM(E$99:E149))</f>
        <v>0</v>
      </c>
      <c r="E150" s="69">
        <f t="shared" si="16"/>
        <v>0</v>
      </c>
      <c r="F150" s="664">
        <f t="shared" si="17"/>
        <v>0</v>
      </c>
      <c r="G150" s="664">
        <f t="shared" si="18"/>
        <v>0</v>
      </c>
      <c r="H150" s="130">
        <f t="shared" si="12"/>
        <v>0</v>
      </c>
      <c r="I150" s="139">
        <f t="shared" si="13"/>
        <v>0</v>
      </c>
      <c r="J150" s="669">
        <f t="shared" si="19"/>
        <v>0</v>
      </c>
      <c r="K150" s="669"/>
      <c r="L150" s="132"/>
      <c r="M150" s="669">
        <f t="shared" si="20"/>
        <v>0</v>
      </c>
      <c r="N150" s="132"/>
      <c r="O150" s="669">
        <f t="shared" si="21"/>
        <v>0</v>
      </c>
      <c r="P150" s="669">
        <f t="shared" si="22"/>
        <v>0</v>
      </c>
    </row>
    <row r="151" spans="2:16">
      <c r="B151" s="9" t="str">
        <f t="shared" si="15"/>
        <v/>
      </c>
      <c r="C151" s="662">
        <f>IF(D93="","-",+C150+1)</f>
        <v>2074</v>
      </c>
      <c r="D151" s="663">
        <f>IF(F150+SUM(E$99:E150)=D$92,F150,D$92-SUM(E$99:E150))</f>
        <v>0</v>
      </c>
      <c r="E151" s="69">
        <f t="shared" si="16"/>
        <v>0</v>
      </c>
      <c r="F151" s="664">
        <f t="shared" si="17"/>
        <v>0</v>
      </c>
      <c r="G151" s="664">
        <f t="shared" si="18"/>
        <v>0</v>
      </c>
      <c r="H151" s="130">
        <f t="shared" si="12"/>
        <v>0</v>
      </c>
      <c r="I151" s="139">
        <f t="shared" si="13"/>
        <v>0</v>
      </c>
      <c r="J151" s="669">
        <f t="shared" si="19"/>
        <v>0</v>
      </c>
      <c r="K151" s="669"/>
      <c r="L151" s="132"/>
      <c r="M151" s="669">
        <f t="shared" si="20"/>
        <v>0</v>
      </c>
      <c r="N151" s="132"/>
      <c r="O151" s="669">
        <f t="shared" si="21"/>
        <v>0</v>
      </c>
      <c r="P151" s="669">
        <f t="shared" si="22"/>
        <v>0</v>
      </c>
    </row>
    <row r="152" spans="2:16">
      <c r="B152" s="9" t="str">
        <f t="shared" si="15"/>
        <v/>
      </c>
      <c r="C152" s="662">
        <f>IF(D93="","-",+C151+1)</f>
        <v>2075</v>
      </c>
      <c r="D152" s="663">
        <f>IF(F151+SUM(E$99:E151)=D$92,F151,D$92-SUM(E$99:E151))</f>
        <v>0</v>
      </c>
      <c r="E152" s="69">
        <f t="shared" si="16"/>
        <v>0</v>
      </c>
      <c r="F152" s="664">
        <f t="shared" si="17"/>
        <v>0</v>
      </c>
      <c r="G152" s="664">
        <f t="shared" si="18"/>
        <v>0</v>
      </c>
      <c r="H152" s="130">
        <f t="shared" si="12"/>
        <v>0</v>
      </c>
      <c r="I152" s="139">
        <f t="shared" si="13"/>
        <v>0</v>
      </c>
      <c r="J152" s="669">
        <f t="shared" si="19"/>
        <v>0</v>
      </c>
      <c r="K152" s="669"/>
      <c r="L152" s="132"/>
      <c r="M152" s="669">
        <f t="shared" si="20"/>
        <v>0</v>
      </c>
      <c r="N152" s="132"/>
      <c r="O152" s="669">
        <f t="shared" si="21"/>
        <v>0</v>
      </c>
      <c r="P152" s="669">
        <f t="shared" si="22"/>
        <v>0</v>
      </c>
    </row>
    <row r="153" spans="2:16">
      <c r="B153" s="9" t="str">
        <f t="shared" si="15"/>
        <v/>
      </c>
      <c r="C153" s="662">
        <f>IF(D93="","-",+C152+1)</f>
        <v>2076</v>
      </c>
      <c r="D153" s="663">
        <f>IF(F152+SUM(E$99:E152)=D$92,F152,D$92-SUM(E$99:E152))</f>
        <v>0</v>
      </c>
      <c r="E153" s="69">
        <f t="shared" si="16"/>
        <v>0</v>
      </c>
      <c r="F153" s="664">
        <f t="shared" si="17"/>
        <v>0</v>
      </c>
      <c r="G153" s="664">
        <f t="shared" si="18"/>
        <v>0</v>
      </c>
      <c r="H153" s="130">
        <f t="shared" si="12"/>
        <v>0</v>
      </c>
      <c r="I153" s="139">
        <f t="shared" si="13"/>
        <v>0</v>
      </c>
      <c r="J153" s="669">
        <f t="shared" si="19"/>
        <v>0</v>
      </c>
      <c r="K153" s="669"/>
      <c r="L153" s="132"/>
      <c r="M153" s="669">
        <f t="shared" si="20"/>
        <v>0</v>
      </c>
      <c r="N153" s="132"/>
      <c r="O153" s="669">
        <f t="shared" si="21"/>
        <v>0</v>
      </c>
      <c r="P153" s="669">
        <f t="shared" si="22"/>
        <v>0</v>
      </c>
    </row>
    <row r="154" spans="2:16" ht="13.5" thickBot="1">
      <c r="B154" s="9" t="str">
        <f t="shared" si="15"/>
        <v/>
      </c>
      <c r="C154" s="671">
        <f>IF(D93="","-",+C153+1)</f>
        <v>2077</v>
      </c>
      <c r="D154" s="697">
        <f>IF(F153+SUM(E$99:E153)=D$92,F153,D$92-SUM(E$99:E153))</f>
        <v>0</v>
      </c>
      <c r="E154" s="74">
        <f t="shared" si="16"/>
        <v>0</v>
      </c>
      <c r="F154" s="672">
        <f t="shared" si="17"/>
        <v>0</v>
      </c>
      <c r="G154" s="672">
        <f t="shared" si="18"/>
        <v>0</v>
      </c>
      <c r="H154" s="140">
        <f t="shared" si="12"/>
        <v>0</v>
      </c>
      <c r="I154" s="141">
        <f t="shared" si="13"/>
        <v>0</v>
      </c>
      <c r="J154" s="675">
        <f t="shared" si="19"/>
        <v>0</v>
      </c>
      <c r="K154" s="669"/>
      <c r="L154" s="133"/>
      <c r="M154" s="675">
        <f t="shared" si="20"/>
        <v>0</v>
      </c>
      <c r="N154" s="133"/>
      <c r="O154" s="675">
        <f t="shared" si="21"/>
        <v>0</v>
      </c>
      <c r="P154" s="675">
        <f t="shared" si="22"/>
        <v>0</v>
      </c>
    </row>
    <row r="155" spans="2:16">
      <c r="C155" s="663" t="s">
        <v>77</v>
      </c>
      <c r="D155" s="642"/>
      <c r="E155" s="642">
        <f>SUM(E99:E154)</f>
        <v>70968</v>
      </c>
      <c r="F155" s="642"/>
      <c r="G155" s="642"/>
      <c r="H155" s="642">
        <f>SUM(H99:H154)</f>
        <v>235441.1710211859</v>
      </c>
      <c r="I155" s="642">
        <f>SUM(I99:I154)</f>
        <v>235441.1710211859</v>
      </c>
      <c r="J155" s="642">
        <f>SUM(J99:J154)</f>
        <v>0</v>
      </c>
      <c r="K155" s="642"/>
      <c r="L155" s="642"/>
      <c r="M155" s="642"/>
      <c r="N155" s="642"/>
      <c r="O155" s="642"/>
      <c r="P155" s="635"/>
    </row>
    <row r="156" spans="2:16">
      <c r="C156" t="s">
        <v>100</v>
      </c>
      <c r="D156" s="636"/>
      <c r="E156" s="635"/>
      <c r="F156" s="635"/>
      <c r="G156" s="635"/>
      <c r="H156" s="635"/>
      <c r="I156" s="638"/>
      <c r="J156" s="638"/>
      <c r="K156" s="642"/>
      <c r="L156" s="638"/>
      <c r="M156" s="638"/>
      <c r="N156" s="638"/>
      <c r="O156" s="638"/>
      <c r="P156" s="635"/>
    </row>
    <row r="157" spans="2:16">
      <c r="C157" s="99"/>
      <c r="D157" s="636"/>
      <c r="E157" s="635"/>
      <c r="F157" s="635"/>
      <c r="G157" s="635"/>
      <c r="H157" s="635"/>
      <c r="I157" s="638"/>
      <c r="J157" s="638"/>
      <c r="K157" s="642"/>
      <c r="L157" s="638"/>
      <c r="M157" s="638"/>
      <c r="N157" s="638"/>
      <c r="O157" s="638"/>
      <c r="P157" s="635"/>
    </row>
    <row r="158" spans="2:16">
      <c r="C158" s="115" t="s">
        <v>148</v>
      </c>
      <c r="D158" s="636"/>
      <c r="E158" s="635"/>
      <c r="F158" s="635"/>
      <c r="G158" s="635"/>
      <c r="H158" s="635"/>
      <c r="I158" s="638"/>
      <c r="J158" s="638"/>
      <c r="K158" s="642"/>
      <c r="L158" s="638"/>
      <c r="M158" s="638"/>
      <c r="N158" s="638"/>
      <c r="O158" s="638"/>
      <c r="P158" s="635"/>
    </row>
    <row r="159" spans="2:16">
      <c r="C159" s="645" t="s">
        <v>78</v>
      </c>
      <c r="D159" s="663"/>
      <c r="E159" s="663"/>
      <c r="F159" s="663"/>
      <c r="G159" s="663"/>
      <c r="H159" s="642"/>
      <c r="I159" s="642"/>
      <c r="J159" s="676"/>
      <c r="K159" s="676"/>
      <c r="L159" s="676"/>
      <c r="M159" s="676"/>
      <c r="N159" s="676"/>
      <c r="O159" s="676"/>
      <c r="P159" s="635"/>
    </row>
    <row r="160" spans="2:16">
      <c r="C160" s="698" t="s">
        <v>79</v>
      </c>
      <c r="D160" s="663"/>
      <c r="E160" s="663"/>
      <c r="F160" s="663"/>
      <c r="G160" s="663"/>
      <c r="H160" s="642"/>
      <c r="I160" s="642"/>
      <c r="J160" s="676"/>
      <c r="K160" s="676"/>
      <c r="L160" s="676"/>
      <c r="M160" s="676"/>
      <c r="N160" s="676"/>
      <c r="O160" s="676"/>
      <c r="P160" s="635"/>
    </row>
    <row r="161" spans="3:16">
      <c r="C161" s="698"/>
      <c r="D161" s="663"/>
      <c r="E161" s="663"/>
      <c r="F161" s="663"/>
      <c r="G161" s="663"/>
      <c r="H161" s="642"/>
      <c r="I161" s="642"/>
      <c r="J161" s="676"/>
      <c r="K161" s="676"/>
      <c r="L161" s="676"/>
      <c r="M161" s="676"/>
      <c r="N161" s="676"/>
      <c r="O161" s="676"/>
      <c r="P161" s="635"/>
    </row>
    <row r="162" spans="3:16" ht="18">
      <c r="C162" s="698"/>
      <c r="D162" s="663"/>
      <c r="E162" s="663"/>
      <c r="F162" s="663"/>
      <c r="G162" s="663"/>
      <c r="H162" s="642"/>
      <c r="I162" s="642"/>
      <c r="J162" s="676"/>
      <c r="K162" s="676"/>
      <c r="L162" s="676"/>
      <c r="M162" s="676"/>
      <c r="N162" s="676"/>
      <c r="P162" s="699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4" header="0.25" footer="0.5"/>
  <pageSetup scale="47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58"/>
  <dimension ref="A1:P162"/>
  <sheetViews>
    <sheetView view="pageBreakPreview" zoomScale="78" zoomScaleNormal="100" zoomScaleSheetLayoutView="78" workbookViewId="0">
      <selection sqref="A1:XFD104857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31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281</v>
      </c>
      <c r="L5" s="24"/>
      <c r="M5" s="25"/>
      <c r="N5" s="26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282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/>
      <c r="E10" s="12" t="s">
        <v>51</v>
      </c>
      <c r="F10" s="42"/>
      <c r="G10" s="44"/>
      <c r="H10" s="44"/>
      <c r="I10" s="45">
        <f>+'PSO.WS.F.BPU.ATRR.Projected'!L19</f>
        <v>2022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'PSO.WS.F.BPU.ATRR.Projected'!$F$81</f>
        <v>0.10781124580725182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42</v>
      </c>
      <c r="E13" s="46" t="s">
        <v>59</v>
      </c>
      <c r="F13" s="44"/>
      <c r="G13" s="7"/>
      <c r="H13" s="7"/>
      <c r="I13" s="50">
        <f>IF(G5="",I12,'PSO.WS.F.BPU.ATRR.Projected'!$F$80)</f>
        <v>0.10781124580725182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283</v>
      </c>
      <c r="H15" s="143" t="s">
        <v>284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31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2022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2022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0.11018265287564978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39</v>
      </c>
      <c r="E95" s="46" t="s">
        <v>59</v>
      </c>
      <c r="F95" s="44"/>
      <c r="G95" s="44"/>
      <c r="J95" s="50">
        <f>IF(H87="",J94,'PSO.WS.G.BPU.ATRR.True-up'!$F$80)</f>
        <v>0.11018265287564978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283</v>
      </c>
      <c r="I97" s="135" t="s">
        <v>284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.5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P162"/>
  <sheetViews>
    <sheetView view="pageBreakPreview" zoomScale="80" zoomScaleNormal="100" zoomScaleSheetLayoutView="80" workbookViewId="0">
      <selection activeCell="C1" sqref="C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14062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1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 t="str">
        <f>RIGHT(N3,3)</f>
        <v/>
      </c>
      <c r="P3" s="41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90708.453283775307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90708.453283775307</v>
      </c>
      <c r="O6" s="233"/>
      <c r="P6" s="233"/>
    </row>
    <row r="7" spans="1:16" ht="13.5" thickBot="1">
      <c r="C7" s="431" t="s">
        <v>46</v>
      </c>
      <c r="D7" s="432" t="s">
        <v>209</v>
      </c>
      <c r="E7" s="332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49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f>893858</f>
        <v>893858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IF(D10=0,0,ROUND(D10/D13,0))</f>
        <v>21282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579098</v>
      </c>
      <c r="E17" s="474">
        <v>5463</v>
      </c>
      <c r="F17" s="473">
        <v>573635</v>
      </c>
      <c r="G17" s="474">
        <v>56729</v>
      </c>
      <c r="H17" s="474">
        <v>56729</v>
      </c>
      <c r="I17" s="475">
        <f t="shared" ref="I17:I48" si="0">H17-G17</f>
        <v>0</v>
      </c>
      <c r="J17" s="475"/>
      <c r="K17" s="476">
        <v>56729</v>
      </c>
      <c r="L17" s="477">
        <f t="shared" ref="L17:L48" si="1">IF(K17&lt;&gt;0,+G17-K17,0)</f>
        <v>0</v>
      </c>
      <c r="M17" s="476">
        <v>56729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888395</v>
      </c>
      <c r="E18" s="480">
        <v>15962</v>
      </c>
      <c r="F18" s="479">
        <v>872433</v>
      </c>
      <c r="G18" s="480">
        <v>141851</v>
      </c>
      <c r="H18" s="481">
        <v>141851</v>
      </c>
      <c r="I18" s="475">
        <f t="shared" si="0"/>
        <v>0</v>
      </c>
      <c r="J18" s="475"/>
      <c r="K18" s="476">
        <f t="shared" ref="K18:K23" si="4">G18</f>
        <v>141851</v>
      </c>
      <c r="L18" s="478">
        <f t="shared" si="1"/>
        <v>0</v>
      </c>
      <c r="M18" s="476">
        <f t="shared" ref="M18:M23" si="5">H18</f>
        <v>141851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2011</v>
      </c>
      <c r="D19" s="479">
        <v>872433</v>
      </c>
      <c r="E19" s="480">
        <v>17527</v>
      </c>
      <c r="F19" s="479">
        <v>854906</v>
      </c>
      <c r="G19" s="480">
        <v>151356.84230707804</v>
      </c>
      <c r="H19" s="481">
        <v>151356.84230707804</v>
      </c>
      <c r="I19" s="475">
        <f t="shared" si="0"/>
        <v>0</v>
      </c>
      <c r="J19" s="475"/>
      <c r="K19" s="476">
        <f t="shared" si="4"/>
        <v>151356.84230707804</v>
      </c>
      <c r="L19" s="478">
        <f t="shared" si="1"/>
        <v>0</v>
      </c>
      <c r="M19" s="476">
        <f t="shared" si="5"/>
        <v>151356.84230707804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82">
        <f>IF(D11="","-",+C19+1)</f>
        <v>2012</v>
      </c>
      <c r="D20" s="479">
        <v>854906</v>
      </c>
      <c r="E20" s="480">
        <v>17190</v>
      </c>
      <c r="F20" s="479">
        <v>837716</v>
      </c>
      <c r="G20" s="480">
        <v>133805.70830730975</v>
      </c>
      <c r="H20" s="481">
        <v>133805.70830730975</v>
      </c>
      <c r="I20" s="475">
        <f t="shared" si="0"/>
        <v>0</v>
      </c>
      <c r="J20" s="475"/>
      <c r="K20" s="476">
        <f t="shared" si="4"/>
        <v>133805.70830730975</v>
      </c>
      <c r="L20" s="478">
        <f t="shared" si="1"/>
        <v>0</v>
      </c>
      <c r="M20" s="476">
        <f t="shared" si="5"/>
        <v>133805.70830730975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82">
        <f>IF(D12="","-",+C20+1)</f>
        <v>2013</v>
      </c>
      <c r="D21" s="479">
        <v>837716</v>
      </c>
      <c r="E21" s="480">
        <v>17190</v>
      </c>
      <c r="F21" s="479">
        <v>820526</v>
      </c>
      <c r="G21" s="480">
        <v>134366.65985215519</v>
      </c>
      <c r="H21" s="481">
        <v>134366.65985215519</v>
      </c>
      <c r="I21" s="475">
        <v>0</v>
      </c>
      <c r="J21" s="475"/>
      <c r="K21" s="476">
        <f t="shared" si="4"/>
        <v>134366.65985215519</v>
      </c>
      <c r="L21" s="478">
        <f t="shared" ref="L21:L26" si="7">IF(K21&lt;&gt;0,+G21-K21,0)</f>
        <v>0</v>
      </c>
      <c r="M21" s="476">
        <f t="shared" si="5"/>
        <v>134366.65985215519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820526</v>
      </c>
      <c r="E22" s="480">
        <v>17190</v>
      </c>
      <c r="F22" s="479">
        <v>803336</v>
      </c>
      <c r="G22" s="480">
        <v>127776.24380165605</v>
      </c>
      <c r="H22" s="481">
        <v>127776.24380165605</v>
      </c>
      <c r="I22" s="475">
        <v>0</v>
      </c>
      <c r="J22" s="475"/>
      <c r="K22" s="476">
        <f t="shared" si="4"/>
        <v>127776.24380165605</v>
      </c>
      <c r="L22" s="478">
        <f t="shared" si="7"/>
        <v>0</v>
      </c>
      <c r="M22" s="476">
        <f t="shared" si="5"/>
        <v>127776.24380165605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2015</v>
      </c>
      <c r="D23" s="479">
        <v>803336</v>
      </c>
      <c r="E23" s="480">
        <v>17190</v>
      </c>
      <c r="F23" s="479">
        <v>786146</v>
      </c>
      <c r="G23" s="480">
        <v>125577.25148028173</v>
      </c>
      <c r="H23" s="481">
        <v>125577.25148028173</v>
      </c>
      <c r="I23" s="475">
        <v>0</v>
      </c>
      <c r="J23" s="475"/>
      <c r="K23" s="476">
        <f t="shared" si="4"/>
        <v>125577.25148028173</v>
      </c>
      <c r="L23" s="478">
        <f t="shared" si="7"/>
        <v>0</v>
      </c>
      <c r="M23" s="476">
        <f t="shared" si="5"/>
        <v>125577.25148028173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786146</v>
      </c>
      <c r="E24" s="480">
        <v>17190</v>
      </c>
      <c r="F24" s="479">
        <v>768956</v>
      </c>
      <c r="G24" s="480">
        <v>118045.98754263212</v>
      </c>
      <c r="H24" s="481">
        <v>118045.98754263212</v>
      </c>
      <c r="I24" s="475">
        <f t="shared" si="0"/>
        <v>0</v>
      </c>
      <c r="J24" s="475"/>
      <c r="K24" s="476">
        <f t="shared" ref="K24:K29" si="10">G24</f>
        <v>118045.98754263212</v>
      </c>
      <c r="L24" s="478">
        <f t="shared" si="7"/>
        <v>0</v>
      </c>
      <c r="M24" s="476">
        <f t="shared" ref="M24:M29" si="11">H24</f>
        <v>118045.98754263212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768956</v>
      </c>
      <c r="E25" s="480">
        <v>19432</v>
      </c>
      <c r="F25" s="479">
        <v>749524</v>
      </c>
      <c r="G25" s="480">
        <v>114816.91495996526</v>
      </c>
      <c r="H25" s="481">
        <v>114816.91495996526</v>
      </c>
      <c r="I25" s="475">
        <f t="shared" si="0"/>
        <v>0</v>
      </c>
      <c r="J25" s="475"/>
      <c r="K25" s="476">
        <f t="shared" si="10"/>
        <v>114816.91495996526</v>
      </c>
      <c r="L25" s="478">
        <f t="shared" si="7"/>
        <v>0</v>
      </c>
      <c r="M25" s="476">
        <f t="shared" si="11"/>
        <v>114816.91495996526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2018</v>
      </c>
      <c r="D26" s="479">
        <v>749524</v>
      </c>
      <c r="E26" s="480">
        <v>19864</v>
      </c>
      <c r="F26" s="479">
        <v>729660</v>
      </c>
      <c r="G26" s="480">
        <v>108436.75447594153</v>
      </c>
      <c r="H26" s="481">
        <v>108436.75447594153</v>
      </c>
      <c r="I26" s="475">
        <f t="shared" si="0"/>
        <v>0</v>
      </c>
      <c r="J26" s="475"/>
      <c r="K26" s="476">
        <f t="shared" si="10"/>
        <v>108436.75447594153</v>
      </c>
      <c r="L26" s="478">
        <f t="shared" si="7"/>
        <v>0</v>
      </c>
      <c r="M26" s="476">
        <f t="shared" si="11"/>
        <v>108436.75447594153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729660</v>
      </c>
      <c r="E27" s="480">
        <v>22346</v>
      </c>
      <c r="F27" s="479">
        <v>707314</v>
      </c>
      <c r="G27" s="480">
        <v>102569.83805108386</v>
      </c>
      <c r="H27" s="481">
        <v>102569.83805108386</v>
      </c>
      <c r="I27" s="475">
        <f t="shared" si="0"/>
        <v>0</v>
      </c>
      <c r="J27" s="475"/>
      <c r="K27" s="476">
        <f t="shared" si="10"/>
        <v>102569.83805108386</v>
      </c>
      <c r="L27" s="478">
        <f t="shared" ref="L27" si="12">IF(K27&lt;&gt;0,+G27-K27,0)</f>
        <v>0</v>
      </c>
      <c r="M27" s="476">
        <f t="shared" si="11"/>
        <v>102569.83805108386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>IU</v>
      </c>
      <c r="C28" s="472">
        <f>IF(D11="","-",+C27+1)</f>
        <v>2020</v>
      </c>
      <c r="D28" s="479">
        <v>709796</v>
      </c>
      <c r="E28" s="480">
        <v>21282</v>
      </c>
      <c r="F28" s="479">
        <v>688514</v>
      </c>
      <c r="G28" s="480">
        <v>96794.079800478314</v>
      </c>
      <c r="H28" s="481">
        <v>96794.079800478314</v>
      </c>
      <c r="I28" s="475">
        <f t="shared" si="0"/>
        <v>0</v>
      </c>
      <c r="J28" s="475"/>
      <c r="K28" s="476">
        <f t="shared" si="10"/>
        <v>96794.079800478314</v>
      </c>
      <c r="L28" s="478">
        <f t="shared" ref="L28" si="15">IF(K28&lt;&gt;0,+G28-K28,0)</f>
        <v>0</v>
      </c>
      <c r="M28" s="476">
        <f t="shared" si="11"/>
        <v>96794.079800478314</v>
      </c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686032</v>
      </c>
      <c r="E29" s="480">
        <v>20787</v>
      </c>
      <c r="F29" s="479">
        <v>665245</v>
      </c>
      <c r="G29" s="480">
        <v>92514.814817027102</v>
      </c>
      <c r="H29" s="481">
        <v>92514.814817027102</v>
      </c>
      <c r="I29" s="475">
        <f t="shared" si="0"/>
        <v>0</v>
      </c>
      <c r="J29" s="475"/>
      <c r="K29" s="476">
        <f t="shared" si="10"/>
        <v>92514.814817027102</v>
      </c>
      <c r="L29" s="478">
        <f t="shared" ref="L29" si="16">IF(K29&lt;&gt;0,+G29-K29,0)</f>
        <v>0</v>
      </c>
      <c r="M29" s="476">
        <f t="shared" si="11"/>
        <v>92514.814817027102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/>
      </c>
      <c r="C30" s="472">
        <f>IF(D11="","-",+C29+1)</f>
        <v>2022</v>
      </c>
      <c r="D30" s="479">
        <v>665245</v>
      </c>
      <c r="E30" s="480">
        <v>21282</v>
      </c>
      <c r="F30" s="479">
        <v>643963</v>
      </c>
      <c r="G30" s="480">
        <v>90708.453283775307</v>
      </c>
      <c r="H30" s="481">
        <v>90708.453283775307</v>
      </c>
      <c r="I30" s="475">
        <f t="shared" si="0"/>
        <v>0</v>
      </c>
      <c r="J30" s="475"/>
      <c r="K30" s="476">
        <f t="shared" ref="K30" si="17">G30</f>
        <v>90708.453283775307</v>
      </c>
      <c r="L30" s="478">
        <f t="shared" ref="L30" si="18">IF(K30&lt;&gt;0,+G30-K30,0)</f>
        <v>0</v>
      </c>
      <c r="M30" s="476">
        <f t="shared" ref="M30" si="19">H30</f>
        <v>90708.453283775307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3">
        <f>IF(F30+SUM(E$17:E30)=D$10,F30,D$10-SUM(E$17:E30))</f>
        <v>643963</v>
      </c>
      <c r="E31" s="484">
        <f>IF(+I14&lt;F30,I14,D31)</f>
        <v>21282</v>
      </c>
      <c r="F31" s="485">
        <f t="shared" ref="F31:F48" si="20">+D31-E31</f>
        <v>622681</v>
      </c>
      <c r="G31" s="486">
        <f t="shared" ref="G31:G72" si="21">(D31+F31)/2*I$12+E31</f>
        <v>89561.233817140339</v>
      </c>
      <c r="H31" s="455">
        <f t="shared" ref="H31:H72" si="22">+(D31+F31)/2*I$13+E31</f>
        <v>89561.233817140339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3">
        <f>IF(F31+SUM(E$17:E31)=D$10,F31,D$10-SUM(E$17:E31))</f>
        <v>622681</v>
      </c>
      <c r="E32" s="484">
        <f>IF(+I14&lt;F31,I14,D32)</f>
        <v>21282</v>
      </c>
      <c r="F32" s="485">
        <f t="shared" si="20"/>
        <v>601399</v>
      </c>
      <c r="G32" s="486">
        <f t="shared" si="21"/>
        <v>87266.794883870403</v>
      </c>
      <c r="H32" s="455">
        <f t="shared" si="22"/>
        <v>87266.794883870403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3">
        <f>IF(F32+SUM(E$17:E32)=D$10,F32,D$10-SUM(E$17:E32))</f>
        <v>601399</v>
      </c>
      <c r="E33" s="484">
        <f>IF(+I14&lt;F32,I14,D33)</f>
        <v>21282</v>
      </c>
      <c r="F33" s="485">
        <f t="shared" si="20"/>
        <v>580117</v>
      </c>
      <c r="G33" s="486">
        <f t="shared" si="21"/>
        <v>84972.355950600468</v>
      </c>
      <c r="H33" s="455">
        <f t="shared" si="22"/>
        <v>84972.355950600468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3">
        <f>IF(F33+SUM(E$17:E33)=D$10,F33,D$10-SUM(E$17:E33))</f>
        <v>580117</v>
      </c>
      <c r="E34" s="484">
        <f>IF(+I14&lt;F33,I14,D34)</f>
        <v>21282</v>
      </c>
      <c r="F34" s="485">
        <f t="shared" si="20"/>
        <v>558835</v>
      </c>
      <c r="G34" s="486">
        <f t="shared" si="21"/>
        <v>82677.917017330532</v>
      </c>
      <c r="H34" s="455">
        <f t="shared" si="22"/>
        <v>82677.917017330532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3">
        <f>IF(F34+SUM(E$17:E34)=D$10,F34,D$10-SUM(E$17:E34))</f>
        <v>558835</v>
      </c>
      <c r="E35" s="484">
        <f>IF(+I14&lt;F34,I14,D35)</f>
        <v>21282</v>
      </c>
      <c r="F35" s="485">
        <f t="shared" si="20"/>
        <v>537553</v>
      </c>
      <c r="G35" s="486">
        <f t="shared" si="21"/>
        <v>80383.478084060596</v>
      </c>
      <c r="H35" s="455">
        <f t="shared" si="22"/>
        <v>80383.478084060596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3">
        <f>IF(F35+SUM(E$17:E35)=D$10,F35,D$10-SUM(E$17:E35))</f>
        <v>537553</v>
      </c>
      <c r="E36" s="484">
        <f>IF(+I14&lt;F35,I14,D36)</f>
        <v>21282</v>
      </c>
      <c r="F36" s="485">
        <f t="shared" si="20"/>
        <v>516271</v>
      </c>
      <c r="G36" s="486">
        <f t="shared" si="21"/>
        <v>78089.039150790661</v>
      </c>
      <c r="H36" s="455">
        <f t="shared" si="22"/>
        <v>78089.039150790661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3">
        <f>IF(F36+SUM(E$17:E36)=D$10,F36,D$10-SUM(E$17:E36))</f>
        <v>516271</v>
      </c>
      <c r="E37" s="484">
        <f>IF(+I14&lt;F36,I14,D37)</f>
        <v>21282</v>
      </c>
      <c r="F37" s="485">
        <f t="shared" si="20"/>
        <v>494989</v>
      </c>
      <c r="G37" s="486">
        <f t="shared" si="21"/>
        <v>75794.60021752074</v>
      </c>
      <c r="H37" s="455">
        <f t="shared" si="22"/>
        <v>75794.60021752074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3">
        <f>IF(F37+SUM(E$17:E37)=D$10,F37,D$10-SUM(E$17:E37))</f>
        <v>494989</v>
      </c>
      <c r="E38" s="484">
        <f>IF(+I14&lt;F37,I14,D38)</f>
        <v>21282</v>
      </c>
      <c r="F38" s="485">
        <f t="shared" si="20"/>
        <v>473707</v>
      </c>
      <c r="G38" s="486">
        <f t="shared" si="21"/>
        <v>73500.161284250804</v>
      </c>
      <c r="H38" s="455">
        <f t="shared" si="22"/>
        <v>73500.161284250804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3">
        <f>IF(F38+SUM(E$17:E38)=D$10,F38,D$10-SUM(E$17:E38))</f>
        <v>473707</v>
      </c>
      <c r="E39" s="484">
        <f>IF(+I14&lt;F38,I14,D39)</f>
        <v>21282</v>
      </c>
      <c r="F39" s="485">
        <f t="shared" si="20"/>
        <v>452425</v>
      </c>
      <c r="G39" s="486">
        <f t="shared" si="21"/>
        <v>71205.722350980868</v>
      </c>
      <c r="H39" s="455">
        <f t="shared" si="22"/>
        <v>71205.722350980868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3">
        <f>IF(F39+SUM(E$17:E39)=D$10,F39,D$10-SUM(E$17:E39))</f>
        <v>452425</v>
      </c>
      <c r="E40" s="484">
        <f>IF(+I14&lt;F39,I14,D40)</f>
        <v>21282</v>
      </c>
      <c r="F40" s="485">
        <f t="shared" si="20"/>
        <v>431143</v>
      </c>
      <c r="G40" s="486">
        <f t="shared" si="21"/>
        <v>68911.283417710947</v>
      </c>
      <c r="H40" s="455">
        <f t="shared" si="22"/>
        <v>68911.283417710947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3">
        <f>IF(F40+SUM(E$17:E40)=D$10,F40,D$10-SUM(E$17:E40))</f>
        <v>431143</v>
      </c>
      <c r="E41" s="484">
        <f>IF(+I14&lt;F40,I14,D41)</f>
        <v>21282</v>
      </c>
      <c r="F41" s="485">
        <f t="shared" si="20"/>
        <v>409861</v>
      </c>
      <c r="G41" s="486">
        <f t="shared" si="21"/>
        <v>66616.844484441011</v>
      </c>
      <c r="H41" s="455">
        <f t="shared" si="22"/>
        <v>66616.844484441011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3">
        <f>IF(F41+SUM(E$17:E41)=D$10,F41,D$10-SUM(E$17:E41))</f>
        <v>409861</v>
      </c>
      <c r="E42" s="484">
        <f>IF(+I14&lt;F41,I14,D42)</f>
        <v>21282</v>
      </c>
      <c r="F42" s="485">
        <f t="shared" si="20"/>
        <v>388579</v>
      </c>
      <c r="G42" s="486">
        <f t="shared" si="21"/>
        <v>64322.405551171069</v>
      </c>
      <c r="H42" s="455">
        <f t="shared" si="22"/>
        <v>64322.405551171069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3">
        <f>IF(F42+SUM(E$17:E42)=D$10,F42,D$10-SUM(E$17:E42))</f>
        <v>388579</v>
      </c>
      <c r="E43" s="484">
        <f>IF(+I14&lt;F42,I14,D43)</f>
        <v>21282</v>
      </c>
      <c r="F43" s="485">
        <f t="shared" si="20"/>
        <v>367297</v>
      </c>
      <c r="G43" s="486">
        <f t="shared" si="21"/>
        <v>62027.96661790114</v>
      </c>
      <c r="H43" s="455">
        <f t="shared" si="22"/>
        <v>62027.96661790114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3">
        <f>IF(F43+SUM(E$17:E43)=D$10,F43,D$10-SUM(E$17:E43))</f>
        <v>367297</v>
      </c>
      <c r="E44" s="484">
        <f>IF(+I14&lt;F43,I14,D44)</f>
        <v>21282</v>
      </c>
      <c r="F44" s="485">
        <f t="shared" si="20"/>
        <v>346015</v>
      </c>
      <c r="G44" s="486">
        <f t="shared" si="21"/>
        <v>59733.527684631204</v>
      </c>
      <c r="H44" s="455">
        <f t="shared" si="22"/>
        <v>59733.527684631204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3">
        <f>IF(F44+SUM(E$17:E44)=D$10,F44,D$10-SUM(E$17:E44))</f>
        <v>346015</v>
      </c>
      <c r="E45" s="484">
        <f>IF(+I14&lt;F44,I14,D45)</f>
        <v>21282</v>
      </c>
      <c r="F45" s="485">
        <f t="shared" si="20"/>
        <v>324733</v>
      </c>
      <c r="G45" s="486">
        <f t="shared" si="21"/>
        <v>57439.088751361269</v>
      </c>
      <c r="H45" s="455">
        <f t="shared" si="22"/>
        <v>57439.088751361269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3">
        <f>IF(F45+SUM(E$17:E45)=D$10,F45,D$10-SUM(E$17:E45))</f>
        <v>324733</v>
      </c>
      <c r="E46" s="484">
        <f>IF(+I14&lt;F45,I14,D46)</f>
        <v>21282</v>
      </c>
      <c r="F46" s="485">
        <f t="shared" si="20"/>
        <v>303451</v>
      </c>
      <c r="G46" s="486">
        <f t="shared" si="21"/>
        <v>55144.64981809134</v>
      </c>
      <c r="H46" s="455">
        <f t="shared" si="22"/>
        <v>55144.64981809134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3">
        <f>IF(F46+SUM(E$17:E46)=D$10,F46,D$10-SUM(E$17:E46))</f>
        <v>303451</v>
      </c>
      <c r="E47" s="484">
        <f>IF(+I14&lt;F46,I14,D47)</f>
        <v>21282</v>
      </c>
      <c r="F47" s="485">
        <f t="shared" si="20"/>
        <v>282169</v>
      </c>
      <c r="G47" s="486">
        <f t="shared" si="21"/>
        <v>52850.210884821405</v>
      </c>
      <c r="H47" s="455">
        <f t="shared" si="22"/>
        <v>52850.210884821405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3">
        <f>IF(F47+SUM(E$17:E47)=D$10,F47,D$10-SUM(E$17:E47))</f>
        <v>282169</v>
      </c>
      <c r="E48" s="484">
        <f>IF(+I14&lt;F47,I14,D48)</f>
        <v>21282</v>
      </c>
      <c r="F48" s="485">
        <f t="shared" si="20"/>
        <v>260887</v>
      </c>
      <c r="G48" s="486">
        <f t="shared" si="21"/>
        <v>50555.771951551476</v>
      </c>
      <c r="H48" s="455">
        <f t="shared" si="22"/>
        <v>50555.771951551476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3">
        <f>IF(F48+SUM(E$17:E48)=D$10,F48,D$10-SUM(E$17:E48))</f>
        <v>260887</v>
      </c>
      <c r="E49" s="484">
        <f>IF(+I14&lt;F48,I14,D49)</f>
        <v>21282</v>
      </c>
      <c r="F49" s="485">
        <f t="shared" ref="F49:F72" si="23">+D49-E49</f>
        <v>239605</v>
      </c>
      <c r="G49" s="486">
        <f t="shared" si="21"/>
        <v>48261.333018281541</v>
      </c>
      <c r="H49" s="455">
        <f t="shared" si="22"/>
        <v>48261.333018281541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3">
        <f>IF(F49+SUM(E$17:E49)=D$10,F49,D$10-SUM(E$17:E49))</f>
        <v>239605</v>
      </c>
      <c r="E50" s="484">
        <f>IF(+I14&lt;F49,I14,D50)</f>
        <v>21282</v>
      </c>
      <c r="F50" s="485">
        <f t="shared" si="23"/>
        <v>218323</v>
      </c>
      <c r="G50" s="486">
        <f t="shared" si="21"/>
        <v>45966.894085011605</v>
      </c>
      <c r="H50" s="455">
        <f t="shared" si="22"/>
        <v>45966.894085011605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3">
        <f>IF(F50+SUM(E$17:E50)=D$10,F50,D$10-SUM(E$17:E50))</f>
        <v>218323</v>
      </c>
      <c r="E51" s="484">
        <f>IF(+I14&lt;F50,I14,D51)</f>
        <v>21282</v>
      </c>
      <c r="F51" s="485">
        <f t="shared" si="23"/>
        <v>197041</v>
      </c>
      <c r="G51" s="486">
        <f t="shared" si="21"/>
        <v>43672.455151741669</v>
      </c>
      <c r="H51" s="455">
        <f t="shared" si="22"/>
        <v>43672.455151741669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3">
        <f>IF(F51+SUM(E$17:E51)=D$10,F51,D$10-SUM(E$17:E51))</f>
        <v>197041</v>
      </c>
      <c r="E52" s="484">
        <f>IF(+I14&lt;F51,I14,D52)</f>
        <v>21282</v>
      </c>
      <c r="F52" s="485">
        <f t="shared" si="23"/>
        <v>175759</v>
      </c>
      <c r="G52" s="486">
        <f t="shared" si="21"/>
        <v>41378.016218471741</v>
      </c>
      <c r="H52" s="455">
        <f t="shared" si="22"/>
        <v>41378.016218471741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3">
        <f>IF(F52+SUM(E$17:E52)=D$10,F52,D$10-SUM(E$17:E52))</f>
        <v>175759</v>
      </c>
      <c r="E53" s="484">
        <f>IF(+I14&lt;F52,I14,D53)</f>
        <v>21282</v>
      </c>
      <c r="F53" s="485">
        <f t="shared" si="23"/>
        <v>154477</v>
      </c>
      <c r="G53" s="486">
        <f t="shared" si="21"/>
        <v>39083.577285201805</v>
      </c>
      <c r="H53" s="455">
        <f t="shared" si="22"/>
        <v>39083.577285201805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3">
        <f>IF(F53+SUM(E$17:E53)=D$10,F53,D$10-SUM(E$17:E53))</f>
        <v>154477</v>
      </c>
      <c r="E54" s="484">
        <f>IF(+I14&lt;F53,I14,D54)</f>
        <v>21282</v>
      </c>
      <c r="F54" s="485">
        <f t="shared" si="23"/>
        <v>133195</v>
      </c>
      <c r="G54" s="486">
        <f t="shared" si="21"/>
        <v>36789.138351931877</v>
      </c>
      <c r="H54" s="455">
        <f t="shared" si="22"/>
        <v>36789.138351931877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3">
        <f>IF(F54+SUM(E$17:E54)=D$10,F54,D$10-SUM(E$17:E54))</f>
        <v>133195</v>
      </c>
      <c r="E55" s="484">
        <f>IF(+I14&lt;F54,I14,D55)</f>
        <v>21282</v>
      </c>
      <c r="F55" s="485">
        <f t="shared" si="23"/>
        <v>111913</v>
      </c>
      <c r="G55" s="486">
        <f t="shared" si="21"/>
        <v>34494.699418661941</v>
      </c>
      <c r="H55" s="455">
        <f t="shared" si="22"/>
        <v>34494.699418661941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3">
        <f>IF(F55+SUM(E$17:E55)=D$10,F55,D$10-SUM(E$17:E55))</f>
        <v>111913</v>
      </c>
      <c r="E56" s="484">
        <f>IF(+I14&lt;F55,I14,D56)</f>
        <v>21282</v>
      </c>
      <c r="F56" s="485">
        <f t="shared" si="23"/>
        <v>90631</v>
      </c>
      <c r="G56" s="486">
        <f t="shared" si="21"/>
        <v>32200.260485392006</v>
      </c>
      <c r="H56" s="455">
        <f t="shared" si="22"/>
        <v>32200.260485392006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3">
        <f>IF(F56+SUM(E$17:E56)=D$10,F56,D$10-SUM(E$17:E56))</f>
        <v>90631</v>
      </c>
      <c r="E57" s="484">
        <f>IF(+I14&lt;F56,I14,D57)</f>
        <v>21282</v>
      </c>
      <c r="F57" s="485">
        <f t="shared" si="23"/>
        <v>69349</v>
      </c>
      <c r="G57" s="486">
        <f t="shared" si="21"/>
        <v>29905.821552122074</v>
      </c>
      <c r="H57" s="455">
        <f t="shared" si="22"/>
        <v>29905.821552122074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3">
        <f>IF(F57+SUM(E$17:E57)=D$10,F57,D$10-SUM(E$17:E57))</f>
        <v>69349</v>
      </c>
      <c r="E58" s="484">
        <f>IF(+I14&lt;F57,I14,D58)</f>
        <v>21282</v>
      </c>
      <c r="F58" s="485">
        <f t="shared" si="23"/>
        <v>48067</v>
      </c>
      <c r="G58" s="486">
        <f t="shared" si="21"/>
        <v>27611.382618852142</v>
      </c>
      <c r="H58" s="455">
        <f t="shared" si="22"/>
        <v>27611.382618852142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3">
        <f>IF(F58+SUM(E$17:E58)=D$10,F58,D$10-SUM(E$17:E58))</f>
        <v>48067</v>
      </c>
      <c r="E59" s="484">
        <f>IF(+I14&lt;F58,I14,D59)</f>
        <v>21282</v>
      </c>
      <c r="F59" s="485">
        <f t="shared" si="23"/>
        <v>26785</v>
      </c>
      <c r="G59" s="486">
        <f t="shared" si="21"/>
        <v>25316.943685582206</v>
      </c>
      <c r="H59" s="455">
        <f t="shared" si="22"/>
        <v>25316.943685582206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3">
        <f>IF(F59+SUM(E$17:E59)=D$10,F59,D$10-SUM(E$17:E59))</f>
        <v>26785</v>
      </c>
      <c r="E60" s="484">
        <f>IF(+I14&lt;F59,I14,D60)</f>
        <v>21282</v>
      </c>
      <c r="F60" s="485">
        <f t="shared" si="23"/>
        <v>5503</v>
      </c>
      <c r="G60" s="486">
        <f t="shared" si="21"/>
        <v>23022.504752312274</v>
      </c>
      <c r="H60" s="455">
        <f t="shared" si="22"/>
        <v>23022.504752312274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3">
        <f>IF(F60+SUM(E$17:E60)=D$10,F60,D$10-SUM(E$17:E60))</f>
        <v>5503</v>
      </c>
      <c r="E61" s="484">
        <f>IF(+I14&lt;F60,I14,D61)</f>
        <v>5503</v>
      </c>
      <c r="F61" s="485">
        <f t="shared" si="23"/>
        <v>0</v>
      </c>
      <c r="G61" s="486">
        <f t="shared" si="21"/>
        <v>5799.642642838653</v>
      </c>
      <c r="H61" s="455">
        <f t="shared" si="22"/>
        <v>5799.642642838653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3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6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3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3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3"/>
    </row>
    <row r="65" spans="1:16">
      <c r="B65" s="160" t="str">
        <f t="shared" si="6"/>
        <v/>
      </c>
      <c r="C65" s="472">
        <f>IF(D11="","-",+C64+1)</f>
        <v>2057</v>
      </c>
      <c r="D65" s="483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3"/>
    </row>
    <row r="66" spans="1:16">
      <c r="B66" s="160" t="str">
        <f t="shared" si="6"/>
        <v/>
      </c>
      <c r="C66" s="472">
        <f>IF(D11="","-",+C65+1)</f>
        <v>2058</v>
      </c>
      <c r="D66" s="483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3"/>
    </row>
    <row r="67" spans="1:16">
      <c r="B67" s="160" t="str">
        <f t="shared" si="6"/>
        <v/>
      </c>
      <c r="C67" s="472">
        <f>IF(D11="","-",+C66+1)</f>
        <v>2059</v>
      </c>
      <c r="D67" s="483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3"/>
    </row>
    <row r="68" spans="1:16">
      <c r="B68" s="160" t="str">
        <f t="shared" si="6"/>
        <v/>
      </c>
      <c r="C68" s="472">
        <f>IF(D11="","-",+C67+1)</f>
        <v>2060</v>
      </c>
      <c r="D68" s="483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3"/>
    </row>
    <row r="69" spans="1:16">
      <c r="B69" s="160" t="str">
        <f t="shared" si="6"/>
        <v/>
      </c>
      <c r="C69" s="472">
        <f>IF(D11="","-",+C68+1)</f>
        <v>2061</v>
      </c>
      <c r="D69" s="483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3"/>
    </row>
    <row r="70" spans="1:16">
      <c r="B70" s="160" t="str">
        <f t="shared" si="6"/>
        <v/>
      </c>
      <c r="C70" s="472">
        <f>IF(D11="","-",+C69+1)</f>
        <v>2062</v>
      </c>
      <c r="D70" s="483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3"/>
    </row>
    <row r="71" spans="1:16">
      <c r="B71" s="160" t="str">
        <f t="shared" si="6"/>
        <v/>
      </c>
      <c r="C71" s="472">
        <f>IF(D11="","-",+C70+1)</f>
        <v>2063</v>
      </c>
      <c r="D71" s="483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3"/>
    </row>
    <row r="72" spans="1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si="21"/>
        <v>0</v>
      </c>
      <c r="H72" s="490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3"/>
    </row>
    <row r="73" spans="1:16">
      <c r="C73" s="347" t="s">
        <v>77</v>
      </c>
      <c r="D73" s="348"/>
      <c r="E73" s="348">
        <f>SUM(E17:E72)</f>
        <v>893858</v>
      </c>
      <c r="F73" s="348"/>
      <c r="G73" s="348">
        <f>SUM(G17:G72)</f>
        <v>3289905.2698640125</v>
      </c>
      <c r="H73" s="348">
        <f>SUM(H17:H72)</f>
        <v>3289905.2698640125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1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1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1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1:16" ht="18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497"/>
      <c r="P77" s="243"/>
    </row>
    <row r="78" spans="1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1:16" ht="15">
      <c r="A79" s="498"/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</row>
    <row r="80" spans="1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499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1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90708.453283775307</v>
      </c>
      <c r="N87" s="508">
        <f>IF(J92&lt;D11,0,VLOOKUP(J92,C17:O72,11))</f>
        <v>90708.453283775307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94196.213236584284</v>
      </c>
      <c r="N88" s="512">
        <f>IF(J92&lt;D11,0,VLOOKUP(J92,C99:P154,7))</f>
        <v>94196.213236584284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Riverside-Glenpool (81-523) Reconductor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3487.7599528089777</v>
      </c>
      <c r="N89" s="517">
        <f>+N88-N87</f>
        <v>3487.7599528089777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TP2006087</v>
      </c>
      <c r="E91" s="522"/>
      <c r="F91" s="522"/>
      <c r="G91" s="522"/>
      <c r="H91" s="522"/>
      <c r="I91" s="522"/>
      <c r="J91" s="523"/>
      <c r="K91" s="524"/>
      <c r="P91" s="445"/>
    </row>
    <row r="92" spans="1:16">
      <c r="C92" s="446" t="s">
        <v>226</v>
      </c>
      <c r="D92" s="447">
        <f>+D10</f>
        <v>893858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22919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7981</v>
      </c>
      <c r="F99" s="479">
        <v>885877</v>
      </c>
      <c r="G99" s="537">
        <v>442938.5</v>
      </c>
      <c r="H99" s="538">
        <v>72742</v>
      </c>
      <c r="I99" s="539">
        <v>72742</v>
      </c>
      <c r="J99" s="478">
        <f t="shared" ref="J99:J130" si="28">+I99-H99</f>
        <v>0</v>
      </c>
      <c r="K99" s="478"/>
      <c r="L99" s="476">
        <f t="shared" ref="L99:L104" si="29">H99</f>
        <v>72742</v>
      </c>
      <c r="M99" s="477">
        <f t="shared" ref="M99:M130" si="30">IF(L99&lt;&gt;0,+H99-L99,0)</f>
        <v>0</v>
      </c>
      <c r="N99" s="476">
        <f t="shared" ref="N99:N104" si="31">I99</f>
        <v>72742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>
      <c r="B100" s="160" t="str">
        <f>IF(D100=F99,"","IU")</f>
        <v/>
      </c>
      <c r="C100" s="472">
        <f>IF(D93="","-",+C99+1)</f>
        <v>2010</v>
      </c>
      <c r="D100" s="473">
        <v>885877</v>
      </c>
      <c r="E100" s="480">
        <v>17527</v>
      </c>
      <c r="F100" s="479">
        <v>868350</v>
      </c>
      <c r="G100" s="479">
        <v>877113.5</v>
      </c>
      <c r="H100" s="538">
        <v>158580.20000000001</v>
      </c>
      <c r="I100" s="539">
        <v>158580.20000000001</v>
      </c>
      <c r="J100" s="478">
        <f t="shared" si="28"/>
        <v>0</v>
      </c>
      <c r="K100" s="478"/>
      <c r="L100" s="476">
        <f t="shared" si="29"/>
        <v>158580.20000000001</v>
      </c>
      <c r="M100" s="478">
        <f t="shared" si="30"/>
        <v>0</v>
      </c>
      <c r="N100" s="476">
        <f t="shared" si="31"/>
        <v>158580.20000000001</v>
      </c>
      <c r="O100" s="478">
        <f t="shared" si="32"/>
        <v>0</v>
      </c>
      <c r="P100" s="478">
        <f t="shared" si="33"/>
        <v>0</v>
      </c>
    </row>
    <row r="101" spans="1:16">
      <c r="B101" s="160" t="str">
        <f t="shared" ref="B101:B154" si="34">IF(D101=F100,"","IU")</f>
        <v/>
      </c>
      <c r="C101" s="482">
        <f>IF(D93="","-",+C100+1)</f>
        <v>2011</v>
      </c>
      <c r="D101" s="473">
        <v>868350</v>
      </c>
      <c r="E101" s="480">
        <v>17190</v>
      </c>
      <c r="F101" s="479">
        <v>851160</v>
      </c>
      <c r="G101" s="479">
        <v>859755</v>
      </c>
      <c r="H101" s="480">
        <v>137395.30233025842</v>
      </c>
      <c r="I101" s="481">
        <v>137395.30233025842</v>
      </c>
      <c r="J101" s="478">
        <f t="shared" si="28"/>
        <v>0</v>
      </c>
      <c r="K101" s="478"/>
      <c r="L101" s="540">
        <f t="shared" si="29"/>
        <v>137395.30233025842</v>
      </c>
      <c r="M101" s="541">
        <f t="shared" si="30"/>
        <v>0</v>
      </c>
      <c r="N101" s="540">
        <f t="shared" si="31"/>
        <v>137395.30233025842</v>
      </c>
      <c r="O101" s="478">
        <f t="shared" si="32"/>
        <v>0</v>
      </c>
      <c r="P101" s="478">
        <f t="shared" si="33"/>
        <v>0</v>
      </c>
    </row>
    <row r="102" spans="1:16">
      <c r="B102" s="160" t="str">
        <f t="shared" si="34"/>
        <v/>
      </c>
      <c r="C102" s="482">
        <f>IF(D93="","-",+C101+1)</f>
        <v>2012</v>
      </c>
      <c r="D102" s="473">
        <v>851160</v>
      </c>
      <c r="E102" s="480">
        <v>17190</v>
      </c>
      <c r="F102" s="479">
        <v>833970</v>
      </c>
      <c r="G102" s="479">
        <v>842565</v>
      </c>
      <c r="H102" s="480">
        <v>138397.59402070014</v>
      </c>
      <c r="I102" s="481">
        <v>138397.59402070014</v>
      </c>
      <c r="J102" s="478">
        <v>0</v>
      </c>
      <c r="K102" s="478"/>
      <c r="L102" s="540">
        <f t="shared" si="29"/>
        <v>138397.59402070014</v>
      </c>
      <c r="M102" s="541">
        <f t="shared" ref="M102:M107" si="35">IF(L102&lt;&gt;0,+H102-L102,0)</f>
        <v>0</v>
      </c>
      <c r="N102" s="540">
        <f t="shared" si="31"/>
        <v>138397.59402070014</v>
      </c>
      <c r="O102" s="478">
        <f t="shared" ref="O102:O107" si="36">IF(N102&lt;&gt;0,+I102-N102,0)</f>
        <v>0</v>
      </c>
      <c r="P102" s="478">
        <f t="shared" ref="P102:P107" si="37">+O102-M102</f>
        <v>0</v>
      </c>
    </row>
    <row r="103" spans="1:16">
      <c r="B103" s="160" t="str">
        <f t="shared" si="34"/>
        <v/>
      </c>
      <c r="C103" s="472">
        <f>IF(D93="","-",+C102+1)</f>
        <v>2013</v>
      </c>
      <c r="D103" s="473">
        <v>833970</v>
      </c>
      <c r="E103" s="480">
        <v>17190</v>
      </c>
      <c r="F103" s="479">
        <v>816780</v>
      </c>
      <c r="G103" s="479">
        <v>825375</v>
      </c>
      <c r="H103" s="480">
        <v>135994.14234787846</v>
      </c>
      <c r="I103" s="481">
        <v>135994.14234787846</v>
      </c>
      <c r="J103" s="478">
        <v>0</v>
      </c>
      <c r="K103" s="478"/>
      <c r="L103" s="540">
        <f t="shared" si="29"/>
        <v>135994.14234787846</v>
      </c>
      <c r="M103" s="541">
        <f t="shared" si="35"/>
        <v>0</v>
      </c>
      <c r="N103" s="540">
        <f t="shared" si="31"/>
        <v>135994.14234787846</v>
      </c>
      <c r="O103" s="478">
        <f t="shared" si="36"/>
        <v>0</v>
      </c>
      <c r="P103" s="478">
        <f t="shared" si="37"/>
        <v>0</v>
      </c>
    </row>
    <row r="104" spans="1:16">
      <c r="B104" s="160" t="str">
        <f t="shared" si="34"/>
        <v/>
      </c>
      <c r="C104" s="472">
        <f>IF(D93="","-",+C103+1)</f>
        <v>2014</v>
      </c>
      <c r="D104" s="473">
        <v>816780</v>
      </c>
      <c r="E104" s="480">
        <v>17190</v>
      </c>
      <c r="F104" s="479">
        <v>799590</v>
      </c>
      <c r="G104" s="479">
        <v>808185</v>
      </c>
      <c r="H104" s="480">
        <v>130817.50733584017</v>
      </c>
      <c r="I104" s="481">
        <v>130817.50733584017</v>
      </c>
      <c r="J104" s="478">
        <v>0</v>
      </c>
      <c r="K104" s="478"/>
      <c r="L104" s="540">
        <f t="shared" si="29"/>
        <v>130817.50733584017</v>
      </c>
      <c r="M104" s="541">
        <f t="shared" si="35"/>
        <v>0</v>
      </c>
      <c r="N104" s="540">
        <f t="shared" si="31"/>
        <v>130817.50733584017</v>
      </c>
      <c r="O104" s="478">
        <f t="shared" si="36"/>
        <v>0</v>
      </c>
      <c r="P104" s="478">
        <f t="shared" si="37"/>
        <v>0</v>
      </c>
    </row>
    <row r="105" spans="1:16">
      <c r="B105" s="160" t="str">
        <f t="shared" si="34"/>
        <v/>
      </c>
      <c r="C105" s="472">
        <f>IF(D93="","-",+C104+1)</f>
        <v>2015</v>
      </c>
      <c r="D105" s="473">
        <v>799590</v>
      </c>
      <c r="E105" s="480">
        <v>17190</v>
      </c>
      <c r="F105" s="479">
        <v>782400</v>
      </c>
      <c r="G105" s="479">
        <v>790995</v>
      </c>
      <c r="H105" s="480">
        <v>125114.9078367878</v>
      </c>
      <c r="I105" s="481">
        <v>125114.9078367878</v>
      </c>
      <c r="J105" s="478">
        <f t="shared" si="28"/>
        <v>0</v>
      </c>
      <c r="K105" s="478"/>
      <c r="L105" s="540">
        <f t="shared" ref="L105:L110" si="38">H105</f>
        <v>125114.9078367878</v>
      </c>
      <c r="M105" s="541">
        <f t="shared" si="35"/>
        <v>0</v>
      </c>
      <c r="N105" s="540">
        <f t="shared" ref="N105:N110" si="39">I105</f>
        <v>125114.9078367878</v>
      </c>
      <c r="O105" s="478">
        <f t="shared" si="36"/>
        <v>0</v>
      </c>
      <c r="P105" s="478">
        <f t="shared" si="37"/>
        <v>0</v>
      </c>
    </row>
    <row r="106" spans="1:16">
      <c r="B106" s="160" t="str">
        <f t="shared" si="34"/>
        <v/>
      </c>
      <c r="C106" s="472">
        <f>IF(D93="","-",+C105+1)</f>
        <v>2016</v>
      </c>
      <c r="D106" s="473">
        <v>782400</v>
      </c>
      <c r="E106" s="480">
        <v>19432</v>
      </c>
      <c r="F106" s="479">
        <v>762968</v>
      </c>
      <c r="G106" s="479">
        <v>772684</v>
      </c>
      <c r="H106" s="480">
        <v>119043.13650322839</v>
      </c>
      <c r="I106" s="481">
        <v>119043.13650322839</v>
      </c>
      <c r="J106" s="478">
        <f t="shared" si="28"/>
        <v>0</v>
      </c>
      <c r="K106" s="478"/>
      <c r="L106" s="540">
        <f t="shared" si="38"/>
        <v>119043.13650322839</v>
      </c>
      <c r="M106" s="541">
        <f t="shared" si="35"/>
        <v>0</v>
      </c>
      <c r="N106" s="540">
        <f t="shared" si="39"/>
        <v>119043.13650322839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4"/>
        <v/>
      </c>
      <c r="C107" s="472">
        <f>IF(D93="","-",+C106+1)</f>
        <v>2017</v>
      </c>
      <c r="D107" s="473">
        <v>762968</v>
      </c>
      <c r="E107" s="480">
        <v>19432</v>
      </c>
      <c r="F107" s="479">
        <v>743536</v>
      </c>
      <c r="G107" s="479">
        <v>753252</v>
      </c>
      <c r="H107" s="480">
        <v>114983.91552559278</v>
      </c>
      <c r="I107" s="481">
        <v>114983.91552559278</v>
      </c>
      <c r="J107" s="478">
        <f t="shared" si="28"/>
        <v>0</v>
      </c>
      <c r="K107" s="478"/>
      <c r="L107" s="540">
        <f t="shared" si="38"/>
        <v>114983.91552559278</v>
      </c>
      <c r="M107" s="541">
        <f t="shared" si="35"/>
        <v>0</v>
      </c>
      <c r="N107" s="540">
        <f t="shared" si="39"/>
        <v>114983.91552559278</v>
      </c>
      <c r="O107" s="478">
        <f t="shared" si="36"/>
        <v>0</v>
      </c>
      <c r="P107" s="478">
        <f t="shared" si="37"/>
        <v>0</v>
      </c>
    </row>
    <row r="108" spans="1:16">
      <c r="B108" s="160" t="str">
        <f t="shared" si="34"/>
        <v/>
      </c>
      <c r="C108" s="472">
        <f>IF(D93="","-",+C107+1)</f>
        <v>2018</v>
      </c>
      <c r="D108" s="473">
        <v>743536</v>
      </c>
      <c r="E108" s="480">
        <v>20787</v>
      </c>
      <c r="F108" s="479">
        <v>722749</v>
      </c>
      <c r="G108" s="479">
        <v>733142.5</v>
      </c>
      <c r="H108" s="480">
        <v>96106.810302403712</v>
      </c>
      <c r="I108" s="481">
        <v>96106.810302403712</v>
      </c>
      <c r="J108" s="478">
        <f t="shared" si="28"/>
        <v>0</v>
      </c>
      <c r="K108" s="478"/>
      <c r="L108" s="540">
        <f t="shared" si="38"/>
        <v>96106.810302403712</v>
      </c>
      <c r="M108" s="541">
        <f t="shared" ref="M108" si="40">IF(L108&lt;&gt;0,+H108-L108,0)</f>
        <v>0</v>
      </c>
      <c r="N108" s="540">
        <f t="shared" si="39"/>
        <v>96106.810302403712</v>
      </c>
      <c r="O108" s="478">
        <f t="shared" ref="O108" si="41">IF(N108&lt;&gt;0,+I108-N108,0)</f>
        <v>0</v>
      </c>
      <c r="P108" s="478">
        <f t="shared" ref="P108" si="42">+O108-M108</f>
        <v>0</v>
      </c>
    </row>
    <row r="109" spans="1:16">
      <c r="B109" s="160" t="str">
        <f t="shared" si="34"/>
        <v/>
      </c>
      <c r="C109" s="472">
        <f>IF(D93="","-",+C108+1)</f>
        <v>2019</v>
      </c>
      <c r="D109" s="473">
        <v>722749</v>
      </c>
      <c r="E109" s="480">
        <v>21801</v>
      </c>
      <c r="F109" s="479">
        <v>700948</v>
      </c>
      <c r="G109" s="479">
        <v>711848.5</v>
      </c>
      <c r="H109" s="480">
        <v>95202.564794457576</v>
      </c>
      <c r="I109" s="481">
        <v>95202.564794457576</v>
      </c>
      <c r="J109" s="478">
        <f t="shared" si="28"/>
        <v>0</v>
      </c>
      <c r="K109" s="478"/>
      <c r="L109" s="540">
        <f t="shared" si="38"/>
        <v>95202.564794457576</v>
      </c>
      <c r="M109" s="541">
        <f t="shared" ref="M109" si="43">IF(L109&lt;&gt;0,+H109-L109,0)</f>
        <v>0</v>
      </c>
      <c r="N109" s="540">
        <f t="shared" si="39"/>
        <v>95202.564794457576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34"/>
        <v/>
      </c>
      <c r="C110" s="472">
        <f>IF(D93="","-",+C109+1)</f>
        <v>2020</v>
      </c>
      <c r="D110" s="473">
        <v>700948</v>
      </c>
      <c r="E110" s="480">
        <v>20787</v>
      </c>
      <c r="F110" s="479">
        <v>680161</v>
      </c>
      <c r="G110" s="479">
        <v>690554.5</v>
      </c>
      <c r="H110" s="480">
        <v>100406.03532694498</v>
      </c>
      <c r="I110" s="481">
        <v>100406.03532694498</v>
      </c>
      <c r="J110" s="478">
        <f t="shared" si="28"/>
        <v>0</v>
      </c>
      <c r="K110" s="478"/>
      <c r="L110" s="540">
        <f t="shared" si="38"/>
        <v>100406.03532694498</v>
      </c>
      <c r="M110" s="541">
        <f t="shared" ref="M110" si="44">IF(L110&lt;&gt;0,+H110-L110,0)</f>
        <v>0</v>
      </c>
      <c r="N110" s="540">
        <f t="shared" si="39"/>
        <v>100406.03532694498</v>
      </c>
      <c r="O110" s="478">
        <f t="shared" si="32"/>
        <v>0</v>
      </c>
      <c r="P110" s="478">
        <f t="shared" si="33"/>
        <v>0</v>
      </c>
    </row>
    <row r="111" spans="1:16">
      <c r="B111" s="160" t="str">
        <f t="shared" si="34"/>
        <v/>
      </c>
      <c r="C111" s="472">
        <f>IF(D93="","-",+C110+1)</f>
        <v>2021</v>
      </c>
      <c r="D111" s="473">
        <v>680161</v>
      </c>
      <c r="E111" s="480">
        <v>21801</v>
      </c>
      <c r="F111" s="479">
        <v>658360</v>
      </c>
      <c r="G111" s="479">
        <v>669260.5</v>
      </c>
      <c r="H111" s="480">
        <v>97958.021560633977</v>
      </c>
      <c r="I111" s="481">
        <v>97958.021560633977</v>
      </c>
      <c r="J111" s="478">
        <f t="shared" si="28"/>
        <v>0</v>
      </c>
      <c r="K111" s="478"/>
      <c r="L111" s="540">
        <f t="shared" ref="L111" si="45">H111</f>
        <v>97958.021560633977</v>
      </c>
      <c r="M111" s="541">
        <f t="shared" ref="M111" si="46">IF(L111&lt;&gt;0,+H111-L111,0)</f>
        <v>0</v>
      </c>
      <c r="N111" s="540">
        <f t="shared" ref="N111" si="47">I111</f>
        <v>97958.021560633977</v>
      </c>
      <c r="O111" s="478">
        <f t="shared" si="32"/>
        <v>0</v>
      </c>
      <c r="P111" s="478">
        <f t="shared" si="33"/>
        <v>0</v>
      </c>
    </row>
    <row r="112" spans="1:16">
      <c r="B112" s="160" t="str">
        <f t="shared" si="34"/>
        <v/>
      </c>
      <c r="C112" s="472">
        <f>IF(D93="","-",+C111+1)</f>
        <v>2022</v>
      </c>
      <c r="D112" s="347">
        <f>IF(F111+SUM(E$99:E111)=D$92,F111,D$92-SUM(E$99:E111))</f>
        <v>658360</v>
      </c>
      <c r="E112" s="486">
        <f>IF(+J96&lt;F111,J96,D112)</f>
        <v>22919</v>
      </c>
      <c r="F112" s="485">
        <f t="shared" ref="F112:F130" si="48">+D112-E112</f>
        <v>635441</v>
      </c>
      <c r="G112" s="485">
        <f t="shared" ref="G112:G130" si="49">+(F112+D112)/2</f>
        <v>646900.5</v>
      </c>
      <c r="H112" s="486">
        <f t="shared" ref="H112:H154" si="50">(D112+F112)/2*J$94+E112</f>
        <v>94196.213236584284</v>
      </c>
      <c r="I112" s="542">
        <f t="shared" ref="I112:I131" si="51">+J$95*G112+E112</f>
        <v>94196.213236584284</v>
      </c>
      <c r="J112" s="478">
        <f t="shared" si="28"/>
        <v>0</v>
      </c>
      <c r="K112" s="478"/>
      <c r="L112" s="487"/>
      <c r="M112" s="478">
        <f t="shared" si="30"/>
        <v>0</v>
      </c>
      <c r="N112" s="487"/>
      <c r="O112" s="478">
        <f t="shared" si="32"/>
        <v>0</v>
      </c>
      <c r="P112" s="478">
        <f t="shared" si="33"/>
        <v>0</v>
      </c>
    </row>
    <row r="113" spans="2:16">
      <c r="B113" s="160" t="str">
        <f t="shared" si="34"/>
        <v/>
      </c>
      <c r="C113" s="472">
        <f>IF(D93="","-",+C112+1)</f>
        <v>2023</v>
      </c>
      <c r="D113" s="347">
        <f>IF(F112+SUM(E$99:E112)=D$92,F112,D$92-SUM(E$99:E112))</f>
        <v>635441</v>
      </c>
      <c r="E113" s="486">
        <f>IF(+J96&lt;F112,J96,D113)</f>
        <v>22919</v>
      </c>
      <c r="F113" s="485">
        <f t="shared" si="48"/>
        <v>612522</v>
      </c>
      <c r="G113" s="485">
        <f t="shared" si="49"/>
        <v>623981.5</v>
      </c>
      <c r="H113" s="486">
        <f t="shared" si="50"/>
        <v>91670.937015327261</v>
      </c>
      <c r="I113" s="542">
        <f t="shared" si="51"/>
        <v>91670.937015327261</v>
      </c>
      <c r="J113" s="478">
        <f t="shared" si="28"/>
        <v>0</v>
      </c>
      <c r="K113" s="478"/>
      <c r="L113" s="487"/>
      <c r="M113" s="478">
        <f t="shared" si="30"/>
        <v>0</v>
      </c>
      <c r="N113" s="487"/>
      <c r="O113" s="478">
        <f t="shared" si="32"/>
        <v>0</v>
      </c>
      <c r="P113" s="478">
        <f t="shared" si="33"/>
        <v>0</v>
      </c>
    </row>
    <row r="114" spans="2:16">
      <c r="B114" s="160" t="str">
        <f t="shared" si="34"/>
        <v/>
      </c>
      <c r="C114" s="472">
        <f>IF(D93="","-",+C113+1)</f>
        <v>2024</v>
      </c>
      <c r="D114" s="347">
        <f>IF(F113+SUM(E$99:E113)=D$92,F113,D$92-SUM(E$99:E113))</f>
        <v>612522</v>
      </c>
      <c r="E114" s="486">
        <f>IF(+J96&lt;F113,J96,D114)</f>
        <v>22919</v>
      </c>
      <c r="F114" s="485">
        <f t="shared" si="48"/>
        <v>589603</v>
      </c>
      <c r="G114" s="485">
        <f t="shared" si="49"/>
        <v>601062.5</v>
      </c>
      <c r="H114" s="486">
        <f t="shared" si="50"/>
        <v>89145.660794070252</v>
      </c>
      <c r="I114" s="542">
        <f t="shared" si="51"/>
        <v>89145.660794070252</v>
      </c>
      <c r="J114" s="478">
        <f t="shared" si="28"/>
        <v>0</v>
      </c>
      <c r="K114" s="478"/>
      <c r="L114" s="487"/>
      <c r="M114" s="478">
        <f t="shared" si="30"/>
        <v>0</v>
      </c>
      <c r="N114" s="487"/>
      <c r="O114" s="478">
        <f t="shared" si="32"/>
        <v>0</v>
      </c>
      <c r="P114" s="478">
        <f t="shared" si="33"/>
        <v>0</v>
      </c>
    </row>
    <row r="115" spans="2:16">
      <c r="B115" s="160" t="str">
        <f t="shared" si="34"/>
        <v/>
      </c>
      <c r="C115" s="472">
        <f>IF(D93="","-",+C114+1)</f>
        <v>2025</v>
      </c>
      <c r="D115" s="347">
        <f>IF(F114+SUM(E$99:E114)=D$92,F114,D$92-SUM(E$99:E114))</f>
        <v>589603</v>
      </c>
      <c r="E115" s="486">
        <f>IF(+J96&lt;F114,J96,D115)</f>
        <v>22919</v>
      </c>
      <c r="F115" s="485">
        <f t="shared" si="48"/>
        <v>566684</v>
      </c>
      <c r="G115" s="485">
        <f t="shared" si="49"/>
        <v>578143.5</v>
      </c>
      <c r="H115" s="486">
        <f t="shared" si="50"/>
        <v>86620.384572813229</v>
      </c>
      <c r="I115" s="542">
        <f t="shared" si="51"/>
        <v>86620.384572813229</v>
      </c>
      <c r="J115" s="478">
        <f t="shared" si="28"/>
        <v>0</v>
      </c>
      <c r="K115" s="478"/>
      <c r="L115" s="487"/>
      <c r="M115" s="478">
        <f t="shared" si="30"/>
        <v>0</v>
      </c>
      <c r="N115" s="487"/>
      <c r="O115" s="478">
        <f t="shared" si="32"/>
        <v>0</v>
      </c>
      <c r="P115" s="478">
        <f t="shared" si="33"/>
        <v>0</v>
      </c>
    </row>
    <row r="116" spans="2:16">
      <c r="B116" s="160" t="str">
        <f t="shared" si="34"/>
        <v/>
      </c>
      <c r="C116" s="472">
        <f>IF(D93="","-",+C115+1)</f>
        <v>2026</v>
      </c>
      <c r="D116" s="347">
        <f>IF(F115+SUM(E$99:E115)=D$92,F115,D$92-SUM(E$99:E115))</f>
        <v>566684</v>
      </c>
      <c r="E116" s="486">
        <f>IF(+J96&lt;F115,J96,D116)</f>
        <v>22919</v>
      </c>
      <c r="F116" s="485">
        <f t="shared" si="48"/>
        <v>543765</v>
      </c>
      <c r="G116" s="485">
        <f t="shared" si="49"/>
        <v>555224.5</v>
      </c>
      <c r="H116" s="486">
        <f t="shared" si="50"/>
        <v>84095.108351556206</v>
      </c>
      <c r="I116" s="542">
        <f t="shared" si="51"/>
        <v>84095.108351556206</v>
      </c>
      <c r="J116" s="478">
        <f t="shared" si="28"/>
        <v>0</v>
      </c>
      <c r="K116" s="478"/>
      <c r="L116" s="487"/>
      <c r="M116" s="478">
        <f t="shared" si="30"/>
        <v>0</v>
      </c>
      <c r="N116" s="487"/>
      <c r="O116" s="478">
        <f t="shared" si="32"/>
        <v>0</v>
      </c>
      <c r="P116" s="478">
        <f t="shared" si="33"/>
        <v>0</v>
      </c>
    </row>
    <row r="117" spans="2:16">
      <c r="B117" s="160" t="str">
        <f t="shared" si="34"/>
        <v/>
      </c>
      <c r="C117" s="472">
        <f>IF(D93="","-",+C116+1)</f>
        <v>2027</v>
      </c>
      <c r="D117" s="347">
        <f>IF(F116+SUM(E$99:E116)=D$92,F116,D$92-SUM(E$99:E116))</f>
        <v>543765</v>
      </c>
      <c r="E117" s="486">
        <f>IF(+J96&lt;F116,J96,D117)</f>
        <v>22919</v>
      </c>
      <c r="F117" s="485">
        <f t="shared" si="48"/>
        <v>520846</v>
      </c>
      <c r="G117" s="485">
        <f t="shared" si="49"/>
        <v>532305.5</v>
      </c>
      <c r="H117" s="486">
        <f t="shared" si="50"/>
        <v>81569.832130299197</v>
      </c>
      <c r="I117" s="542">
        <f t="shared" si="51"/>
        <v>81569.832130299197</v>
      </c>
      <c r="J117" s="478">
        <f t="shared" si="28"/>
        <v>0</v>
      </c>
      <c r="K117" s="478"/>
      <c r="L117" s="487"/>
      <c r="M117" s="478">
        <f t="shared" si="30"/>
        <v>0</v>
      </c>
      <c r="N117" s="487"/>
      <c r="O117" s="478">
        <f t="shared" si="32"/>
        <v>0</v>
      </c>
      <c r="P117" s="478">
        <f t="shared" si="33"/>
        <v>0</v>
      </c>
    </row>
    <row r="118" spans="2:16">
      <c r="B118" s="160" t="str">
        <f t="shared" si="34"/>
        <v/>
      </c>
      <c r="C118" s="472">
        <f>IF(D93="","-",+C117+1)</f>
        <v>2028</v>
      </c>
      <c r="D118" s="347">
        <f>IF(F117+SUM(E$99:E117)=D$92,F117,D$92-SUM(E$99:E117))</f>
        <v>520846</v>
      </c>
      <c r="E118" s="486">
        <f>IF(+J96&lt;F117,J96,D118)</f>
        <v>22919</v>
      </c>
      <c r="F118" s="485">
        <f t="shared" si="48"/>
        <v>497927</v>
      </c>
      <c r="G118" s="485">
        <f t="shared" si="49"/>
        <v>509386.5</v>
      </c>
      <c r="H118" s="486">
        <f t="shared" si="50"/>
        <v>79044.555909042174</v>
      </c>
      <c r="I118" s="542">
        <f t="shared" si="51"/>
        <v>79044.555909042174</v>
      </c>
      <c r="J118" s="478">
        <f t="shared" si="28"/>
        <v>0</v>
      </c>
      <c r="K118" s="478"/>
      <c r="L118" s="487"/>
      <c r="M118" s="478">
        <f t="shared" si="30"/>
        <v>0</v>
      </c>
      <c r="N118" s="487"/>
      <c r="O118" s="478">
        <f t="shared" si="32"/>
        <v>0</v>
      </c>
      <c r="P118" s="478">
        <f t="shared" si="33"/>
        <v>0</v>
      </c>
    </row>
    <row r="119" spans="2:16">
      <c r="B119" s="160" t="str">
        <f t="shared" si="34"/>
        <v/>
      </c>
      <c r="C119" s="472">
        <f>IF(D93="","-",+C118+1)</f>
        <v>2029</v>
      </c>
      <c r="D119" s="347">
        <f>IF(F118+SUM(E$99:E118)=D$92,F118,D$92-SUM(E$99:E118))</f>
        <v>497927</v>
      </c>
      <c r="E119" s="486">
        <f>IF(+J96&lt;F118,J96,D119)</f>
        <v>22919</v>
      </c>
      <c r="F119" s="485">
        <f t="shared" si="48"/>
        <v>475008</v>
      </c>
      <c r="G119" s="485">
        <f t="shared" si="49"/>
        <v>486467.5</v>
      </c>
      <c r="H119" s="486">
        <f t="shared" si="50"/>
        <v>76519.279687785165</v>
      </c>
      <c r="I119" s="542">
        <f t="shared" si="51"/>
        <v>76519.279687785165</v>
      </c>
      <c r="J119" s="478">
        <f t="shared" si="28"/>
        <v>0</v>
      </c>
      <c r="K119" s="478"/>
      <c r="L119" s="487"/>
      <c r="M119" s="478">
        <f t="shared" si="30"/>
        <v>0</v>
      </c>
      <c r="N119" s="487"/>
      <c r="O119" s="478">
        <f t="shared" si="32"/>
        <v>0</v>
      </c>
      <c r="P119" s="478">
        <f t="shared" si="33"/>
        <v>0</v>
      </c>
    </row>
    <row r="120" spans="2:16">
      <c r="B120" s="160" t="str">
        <f t="shared" si="34"/>
        <v/>
      </c>
      <c r="C120" s="472">
        <f>IF(D93="","-",+C119+1)</f>
        <v>2030</v>
      </c>
      <c r="D120" s="347">
        <f>IF(F119+SUM(E$99:E119)=D$92,F119,D$92-SUM(E$99:E119))</f>
        <v>475008</v>
      </c>
      <c r="E120" s="486">
        <f>IF(+J96&lt;F119,J96,D120)</f>
        <v>22919</v>
      </c>
      <c r="F120" s="485">
        <f t="shared" si="48"/>
        <v>452089</v>
      </c>
      <c r="G120" s="485">
        <f t="shared" si="49"/>
        <v>463548.5</v>
      </c>
      <c r="H120" s="486">
        <f t="shared" si="50"/>
        <v>73994.003466528142</v>
      </c>
      <c r="I120" s="542">
        <f t="shared" si="51"/>
        <v>73994.003466528142</v>
      </c>
      <c r="J120" s="478">
        <f t="shared" si="28"/>
        <v>0</v>
      </c>
      <c r="K120" s="478"/>
      <c r="L120" s="487"/>
      <c r="M120" s="478">
        <f t="shared" si="30"/>
        <v>0</v>
      </c>
      <c r="N120" s="487"/>
      <c r="O120" s="478">
        <f t="shared" si="32"/>
        <v>0</v>
      </c>
      <c r="P120" s="478">
        <f t="shared" si="33"/>
        <v>0</v>
      </c>
    </row>
    <row r="121" spans="2:16">
      <c r="B121" s="160" t="str">
        <f t="shared" si="34"/>
        <v/>
      </c>
      <c r="C121" s="472">
        <f>IF(D93="","-",+C120+1)</f>
        <v>2031</v>
      </c>
      <c r="D121" s="347">
        <f>IF(F120+SUM(E$99:E120)=D$92,F120,D$92-SUM(E$99:E120))</f>
        <v>452089</v>
      </c>
      <c r="E121" s="486">
        <f>IF(+J96&lt;F120,J96,D121)</f>
        <v>22919</v>
      </c>
      <c r="F121" s="485">
        <f t="shared" si="48"/>
        <v>429170</v>
      </c>
      <c r="G121" s="485">
        <f t="shared" si="49"/>
        <v>440629.5</v>
      </c>
      <c r="H121" s="486">
        <f t="shared" si="50"/>
        <v>71468.727245271119</v>
      </c>
      <c r="I121" s="542">
        <f t="shared" si="51"/>
        <v>71468.727245271119</v>
      </c>
      <c r="J121" s="478">
        <f t="shared" si="28"/>
        <v>0</v>
      </c>
      <c r="K121" s="478"/>
      <c r="L121" s="487"/>
      <c r="M121" s="478">
        <f t="shared" si="30"/>
        <v>0</v>
      </c>
      <c r="N121" s="487"/>
      <c r="O121" s="478">
        <f t="shared" si="32"/>
        <v>0</v>
      </c>
      <c r="P121" s="478">
        <f t="shared" si="33"/>
        <v>0</v>
      </c>
    </row>
    <row r="122" spans="2:16">
      <c r="B122" s="160" t="str">
        <f t="shared" si="34"/>
        <v/>
      </c>
      <c r="C122" s="472">
        <f>IF(D93="","-",+C121+1)</f>
        <v>2032</v>
      </c>
      <c r="D122" s="347">
        <f>IF(F121+SUM(E$99:E121)=D$92,F121,D$92-SUM(E$99:E121))</f>
        <v>429170</v>
      </c>
      <c r="E122" s="486">
        <f>IF(+J96&lt;F121,J96,D122)</f>
        <v>22919</v>
      </c>
      <c r="F122" s="485">
        <f t="shared" si="48"/>
        <v>406251</v>
      </c>
      <c r="G122" s="485">
        <f t="shared" si="49"/>
        <v>417710.5</v>
      </c>
      <c r="H122" s="486">
        <f t="shared" si="50"/>
        <v>68943.45102401411</v>
      </c>
      <c r="I122" s="542">
        <f t="shared" si="51"/>
        <v>68943.45102401411</v>
      </c>
      <c r="J122" s="478">
        <f t="shared" si="28"/>
        <v>0</v>
      </c>
      <c r="K122" s="478"/>
      <c r="L122" s="487"/>
      <c r="M122" s="478">
        <f t="shared" si="30"/>
        <v>0</v>
      </c>
      <c r="N122" s="487"/>
      <c r="O122" s="478">
        <f t="shared" si="32"/>
        <v>0</v>
      </c>
      <c r="P122" s="478">
        <f t="shared" si="33"/>
        <v>0</v>
      </c>
    </row>
    <row r="123" spans="2:16">
      <c r="B123" s="160" t="str">
        <f t="shared" si="34"/>
        <v/>
      </c>
      <c r="C123" s="472">
        <f>IF(D93="","-",+C122+1)</f>
        <v>2033</v>
      </c>
      <c r="D123" s="347">
        <f>IF(F122+SUM(E$99:E122)=D$92,F122,D$92-SUM(E$99:E122))</f>
        <v>406251</v>
      </c>
      <c r="E123" s="486">
        <f>IF(+J96&lt;F122,J96,D123)</f>
        <v>22919</v>
      </c>
      <c r="F123" s="485">
        <f t="shared" si="48"/>
        <v>383332</v>
      </c>
      <c r="G123" s="485">
        <f t="shared" si="49"/>
        <v>394791.5</v>
      </c>
      <c r="H123" s="486">
        <f t="shared" si="50"/>
        <v>66418.174802757101</v>
      </c>
      <c r="I123" s="542">
        <f t="shared" si="51"/>
        <v>66418.174802757101</v>
      </c>
      <c r="J123" s="478">
        <f t="shared" si="28"/>
        <v>0</v>
      </c>
      <c r="K123" s="478"/>
      <c r="L123" s="487"/>
      <c r="M123" s="478">
        <f t="shared" si="30"/>
        <v>0</v>
      </c>
      <c r="N123" s="487"/>
      <c r="O123" s="478">
        <f t="shared" si="32"/>
        <v>0</v>
      </c>
      <c r="P123" s="478">
        <f t="shared" si="33"/>
        <v>0</v>
      </c>
    </row>
    <row r="124" spans="2:16">
      <c r="B124" s="160" t="str">
        <f t="shared" si="34"/>
        <v/>
      </c>
      <c r="C124" s="472">
        <f>IF(D93="","-",+C123+1)</f>
        <v>2034</v>
      </c>
      <c r="D124" s="347">
        <f>IF(F123+SUM(E$99:E123)=D$92,F123,D$92-SUM(E$99:E123))</f>
        <v>383332</v>
      </c>
      <c r="E124" s="486">
        <f>IF(+J96&lt;F123,J96,D124)</f>
        <v>22919</v>
      </c>
      <c r="F124" s="485">
        <f t="shared" si="48"/>
        <v>360413</v>
      </c>
      <c r="G124" s="485">
        <f t="shared" si="49"/>
        <v>371872.5</v>
      </c>
      <c r="H124" s="486">
        <f t="shared" si="50"/>
        <v>63892.898581500071</v>
      </c>
      <c r="I124" s="542">
        <f t="shared" si="51"/>
        <v>63892.898581500071</v>
      </c>
      <c r="J124" s="478">
        <f t="shared" si="28"/>
        <v>0</v>
      </c>
      <c r="K124" s="478"/>
      <c r="L124" s="487"/>
      <c r="M124" s="478">
        <f t="shared" si="30"/>
        <v>0</v>
      </c>
      <c r="N124" s="487"/>
      <c r="O124" s="478">
        <f t="shared" si="32"/>
        <v>0</v>
      </c>
      <c r="P124" s="478">
        <f t="shared" si="33"/>
        <v>0</v>
      </c>
    </row>
    <row r="125" spans="2:16">
      <c r="B125" s="160" t="str">
        <f t="shared" si="34"/>
        <v/>
      </c>
      <c r="C125" s="472">
        <f>IF(D93="","-",+C124+1)</f>
        <v>2035</v>
      </c>
      <c r="D125" s="347">
        <f>IF(F124+SUM(E$99:E124)=D$92,F124,D$92-SUM(E$99:E124))</f>
        <v>360413</v>
      </c>
      <c r="E125" s="486">
        <f>IF(+J96&lt;F124,J96,D125)</f>
        <v>22919</v>
      </c>
      <c r="F125" s="485">
        <f t="shared" si="48"/>
        <v>337494</v>
      </c>
      <c r="G125" s="485">
        <f t="shared" si="49"/>
        <v>348953.5</v>
      </c>
      <c r="H125" s="486">
        <f t="shared" si="50"/>
        <v>61367.622360243055</v>
      </c>
      <c r="I125" s="542">
        <f t="shared" si="51"/>
        <v>61367.622360243055</v>
      </c>
      <c r="J125" s="478">
        <f t="shared" si="28"/>
        <v>0</v>
      </c>
      <c r="K125" s="478"/>
      <c r="L125" s="487"/>
      <c r="M125" s="478">
        <f t="shared" si="30"/>
        <v>0</v>
      </c>
      <c r="N125" s="487"/>
      <c r="O125" s="478">
        <f t="shared" si="32"/>
        <v>0</v>
      </c>
      <c r="P125" s="478">
        <f t="shared" si="33"/>
        <v>0</v>
      </c>
    </row>
    <row r="126" spans="2:16">
      <c r="B126" s="160" t="str">
        <f t="shared" si="34"/>
        <v/>
      </c>
      <c r="C126" s="472">
        <f>IF(D93="","-",+C125+1)</f>
        <v>2036</v>
      </c>
      <c r="D126" s="347">
        <f>IF(F125+SUM(E$99:E125)=D$92,F125,D$92-SUM(E$99:E125))</f>
        <v>337494</v>
      </c>
      <c r="E126" s="486">
        <f>IF(+J96&lt;F125,J96,D126)</f>
        <v>22919</v>
      </c>
      <c r="F126" s="485">
        <f t="shared" si="48"/>
        <v>314575</v>
      </c>
      <c r="G126" s="485">
        <f t="shared" si="49"/>
        <v>326034.5</v>
      </c>
      <c r="H126" s="486">
        <f t="shared" si="50"/>
        <v>58842.346138986039</v>
      </c>
      <c r="I126" s="542">
        <f t="shared" si="51"/>
        <v>58842.346138986039</v>
      </c>
      <c r="J126" s="478">
        <f t="shared" si="28"/>
        <v>0</v>
      </c>
      <c r="K126" s="478"/>
      <c r="L126" s="487"/>
      <c r="M126" s="478">
        <f t="shared" si="30"/>
        <v>0</v>
      </c>
      <c r="N126" s="487"/>
      <c r="O126" s="478">
        <f t="shared" si="32"/>
        <v>0</v>
      </c>
      <c r="P126" s="478">
        <f t="shared" si="33"/>
        <v>0</v>
      </c>
    </row>
    <row r="127" spans="2:16">
      <c r="B127" s="160" t="str">
        <f t="shared" si="34"/>
        <v/>
      </c>
      <c r="C127" s="472">
        <f>IF(D93="","-",+C126+1)</f>
        <v>2037</v>
      </c>
      <c r="D127" s="347">
        <f>IF(F126+SUM(E$99:E126)=D$92,F126,D$92-SUM(E$99:E126))</f>
        <v>314575</v>
      </c>
      <c r="E127" s="486">
        <f>IF(+J96&lt;F126,J96,D127)</f>
        <v>22919</v>
      </c>
      <c r="F127" s="485">
        <f t="shared" si="48"/>
        <v>291656</v>
      </c>
      <c r="G127" s="485">
        <f t="shared" si="49"/>
        <v>303115.5</v>
      </c>
      <c r="H127" s="486">
        <f t="shared" si="50"/>
        <v>56317.069917729023</v>
      </c>
      <c r="I127" s="542">
        <f t="shared" si="51"/>
        <v>56317.069917729023</v>
      </c>
      <c r="J127" s="478">
        <f t="shared" si="28"/>
        <v>0</v>
      </c>
      <c r="K127" s="478"/>
      <c r="L127" s="487"/>
      <c r="M127" s="478">
        <f t="shared" si="30"/>
        <v>0</v>
      </c>
      <c r="N127" s="487"/>
      <c r="O127" s="478">
        <f t="shared" si="32"/>
        <v>0</v>
      </c>
      <c r="P127" s="478">
        <f t="shared" si="33"/>
        <v>0</v>
      </c>
    </row>
    <row r="128" spans="2:16">
      <c r="B128" s="160" t="str">
        <f t="shared" si="34"/>
        <v/>
      </c>
      <c r="C128" s="472">
        <f>IF(D93="","-",+C127+1)</f>
        <v>2038</v>
      </c>
      <c r="D128" s="347">
        <f>IF(F127+SUM(E$99:E127)=D$92,F127,D$92-SUM(E$99:E127))</f>
        <v>291656</v>
      </c>
      <c r="E128" s="486">
        <f>IF(+J96&lt;F127,J96,D128)</f>
        <v>22919</v>
      </c>
      <c r="F128" s="485">
        <f t="shared" si="48"/>
        <v>268737</v>
      </c>
      <c r="G128" s="485">
        <f t="shared" si="49"/>
        <v>280196.5</v>
      </c>
      <c r="H128" s="486">
        <f t="shared" si="50"/>
        <v>53791.793696471999</v>
      </c>
      <c r="I128" s="542">
        <f t="shared" si="51"/>
        <v>53791.793696471999</v>
      </c>
      <c r="J128" s="478">
        <f t="shared" si="28"/>
        <v>0</v>
      </c>
      <c r="K128" s="478"/>
      <c r="L128" s="487"/>
      <c r="M128" s="478">
        <f t="shared" si="30"/>
        <v>0</v>
      </c>
      <c r="N128" s="487"/>
      <c r="O128" s="478">
        <f t="shared" si="32"/>
        <v>0</v>
      </c>
      <c r="P128" s="478">
        <f t="shared" si="33"/>
        <v>0</v>
      </c>
    </row>
    <row r="129" spans="2:16">
      <c r="B129" s="160" t="str">
        <f t="shared" si="34"/>
        <v/>
      </c>
      <c r="C129" s="472">
        <f>IF(D93="","-",+C128+1)</f>
        <v>2039</v>
      </c>
      <c r="D129" s="347">
        <f>IF(F128+SUM(E$99:E128)=D$92,F128,D$92-SUM(E$99:E128))</f>
        <v>268737</v>
      </c>
      <c r="E129" s="486">
        <f>IF(+J96&lt;F128,J96,D129)</f>
        <v>22919</v>
      </c>
      <c r="F129" s="485">
        <f t="shared" si="48"/>
        <v>245818</v>
      </c>
      <c r="G129" s="485">
        <f t="shared" si="49"/>
        <v>257277.5</v>
      </c>
      <c r="H129" s="486">
        <f t="shared" si="50"/>
        <v>51266.517475214991</v>
      </c>
      <c r="I129" s="542">
        <f t="shared" si="51"/>
        <v>51266.517475214991</v>
      </c>
      <c r="J129" s="478">
        <f t="shared" si="28"/>
        <v>0</v>
      </c>
      <c r="K129" s="478"/>
      <c r="L129" s="487"/>
      <c r="M129" s="478">
        <f t="shared" si="30"/>
        <v>0</v>
      </c>
      <c r="N129" s="487"/>
      <c r="O129" s="478">
        <f t="shared" si="32"/>
        <v>0</v>
      </c>
      <c r="P129" s="478">
        <f t="shared" si="33"/>
        <v>0</v>
      </c>
    </row>
    <row r="130" spans="2:16">
      <c r="B130" s="160" t="str">
        <f t="shared" si="34"/>
        <v/>
      </c>
      <c r="C130" s="472">
        <f>IF(D93="","-",+C129+1)</f>
        <v>2040</v>
      </c>
      <c r="D130" s="347">
        <f>IF(F129+SUM(E$99:E129)=D$92,F129,D$92-SUM(E$99:E129))</f>
        <v>245818</v>
      </c>
      <c r="E130" s="486">
        <f>IF(+J96&lt;F129,J96,D130)</f>
        <v>22919</v>
      </c>
      <c r="F130" s="485">
        <f t="shared" si="48"/>
        <v>222899</v>
      </c>
      <c r="G130" s="485">
        <f t="shared" si="49"/>
        <v>234358.5</v>
      </c>
      <c r="H130" s="486">
        <f t="shared" si="50"/>
        <v>48741.241253957967</v>
      </c>
      <c r="I130" s="542">
        <f t="shared" si="51"/>
        <v>48741.241253957967</v>
      </c>
      <c r="J130" s="478">
        <f t="shared" si="28"/>
        <v>0</v>
      </c>
      <c r="K130" s="478"/>
      <c r="L130" s="487"/>
      <c r="M130" s="478">
        <f t="shared" si="30"/>
        <v>0</v>
      </c>
      <c r="N130" s="487"/>
      <c r="O130" s="478">
        <f t="shared" si="32"/>
        <v>0</v>
      </c>
      <c r="P130" s="478">
        <f t="shared" si="33"/>
        <v>0</v>
      </c>
    </row>
    <row r="131" spans="2:16">
      <c r="B131" s="160" t="str">
        <f t="shared" si="34"/>
        <v/>
      </c>
      <c r="C131" s="472">
        <f>IF(D93="","-",+C130+1)</f>
        <v>2041</v>
      </c>
      <c r="D131" s="347">
        <f>IF(F130+SUM(E$99:E130)=D$92,F130,D$92-SUM(E$99:E130))</f>
        <v>222899</v>
      </c>
      <c r="E131" s="486">
        <f>IF(+J96&lt;F130,J96,D131)</f>
        <v>22919</v>
      </c>
      <c r="F131" s="485">
        <f t="shared" ref="F131:F154" si="52">+D131-E131</f>
        <v>199980</v>
      </c>
      <c r="G131" s="485">
        <f t="shared" ref="G131:G154" si="53">+(F131+D131)/2</f>
        <v>211439.5</v>
      </c>
      <c r="H131" s="486">
        <f t="shared" si="50"/>
        <v>46215.965032700951</v>
      </c>
      <c r="I131" s="542">
        <f t="shared" si="51"/>
        <v>46215.965032700951</v>
      </c>
      <c r="J131" s="478">
        <f t="shared" ref="J131:J154" si="54">+I131-H131</f>
        <v>0</v>
      </c>
      <c r="K131" s="478"/>
      <c r="L131" s="487"/>
      <c r="M131" s="478">
        <f t="shared" ref="M131:M154" si="55">IF(L131&lt;&gt;0,+H131-L131,0)</f>
        <v>0</v>
      </c>
      <c r="N131" s="487"/>
      <c r="O131" s="478">
        <f t="shared" ref="O131:O154" si="56">IF(N131&lt;&gt;0,+I131-N131,0)</f>
        <v>0</v>
      </c>
      <c r="P131" s="478">
        <f t="shared" ref="P131:P154" si="57">+O131-M131</f>
        <v>0</v>
      </c>
    </row>
    <row r="132" spans="2:16">
      <c r="B132" s="160" t="str">
        <f t="shared" si="34"/>
        <v/>
      </c>
      <c r="C132" s="472">
        <f>IF(D93="","-",+C131+1)</f>
        <v>2042</v>
      </c>
      <c r="D132" s="347">
        <f>IF(F131+SUM(E$99:E131)=D$92,F131,D$92-SUM(E$99:E131))</f>
        <v>199980</v>
      </c>
      <c r="E132" s="486">
        <f>IF(+J96&lt;F131,J96,D132)</f>
        <v>22919</v>
      </c>
      <c r="F132" s="485">
        <f t="shared" si="52"/>
        <v>177061</v>
      </c>
      <c r="G132" s="485">
        <f t="shared" si="53"/>
        <v>188520.5</v>
      </c>
      <c r="H132" s="486">
        <f t="shared" si="50"/>
        <v>43690.688811443935</v>
      </c>
      <c r="I132" s="542">
        <f t="shared" ref="I132:I154" si="58">+J$95*G132+E132</f>
        <v>43690.688811443935</v>
      </c>
      <c r="J132" s="478">
        <f t="shared" si="54"/>
        <v>0</v>
      </c>
      <c r="K132" s="478"/>
      <c r="L132" s="487"/>
      <c r="M132" s="478">
        <f t="shared" si="55"/>
        <v>0</v>
      </c>
      <c r="N132" s="487"/>
      <c r="O132" s="478">
        <f t="shared" si="56"/>
        <v>0</v>
      </c>
      <c r="P132" s="478">
        <f t="shared" si="57"/>
        <v>0</v>
      </c>
    </row>
    <row r="133" spans="2:16">
      <c r="B133" s="160" t="str">
        <f t="shared" si="34"/>
        <v/>
      </c>
      <c r="C133" s="472">
        <f>IF(D93="","-",+C132+1)</f>
        <v>2043</v>
      </c>
      <c r="D133" s="347">
        <f>IF(F132+SUM(E$99:E132)=D$92,F132,D$92-SUM(E$99:E132))</f>
        <v>177061</v>
      </c>
      <c r="E133" s="486">
        <f>IF(+J96&lt;F132,J96,D133)</f>
        <v>22919</v>
      </c>
      <c r="F133" s="485">
        <f t="shared" si="52"/>
        <v>154142</v>
      </c>
      <c r="G133" s="485">
        <f t="shared" si="53"/>
        <v>165601.5</v>
      </c>
      <c r="H133" s="486">
        <f t="shared" si="50"/>
        <v>41165.412590186912</v>
      </c>
      <c r="I133" s="542">
        <f t="shared" si="58"/>
        <v>41165.412590186912</v>
      </c>
      <c r="J133" s="478">
        <f t="shared" si="54"/>
        <v>0</v>
      </c>
      <c r="K133" s="478"/>
      <c r="L133" s="487"/>
      <c r="M133" s="478">
        <f t="shared" si="55"/>
        <v>0</v>
      </c>
      <c r="N133" s="487"/>
      <c r="O133" s="478">
        <f t="shared" si="56"/>
        <v>0</v>
      </c>
      <c r="P133" s="478">
        <f t="shared" si="57"/>
        <v>0</v>
      </c>
    </row>
    <row r="134" spans="2:16">
      <c r="B134" s="160" t="str">
        <f t="shared" si="34"/>
        <v/>
      </c>
      <c r="C134" s="472">
        <f>IF(D93="","-",+C133+1)</f>
        <v>2044</v>
      </c>
      <c r="D134" s="347">
        <f>IF(F133+SUM(E$99:E133)=D$92,F133,D$92-SUM(E$99:E133))</f>
        <v>154142</v>
      </c>
      <c r="E134" s="486">
        <f>IF(+J96&lt;F133,J96,D134)</f>
        <v>22919</v>
      </c>
      <c r="F134" s="485">
        <f t="shared" si="52"/>
        <v>131223</v>
      </c>
      <c r="G134" s="485">
        <f t="shared" si="53"/>
        <v>142682.5</v>
      </c>
      <c r="H134" s="486">
        <f t="shared" si="50"/>
        <v>38640.136368929903</v>
      </c>
      <c r="I134" s="542">
        <f t="shared" si="58"/>
        <v>38640.136368929903</v>
      </c>
      <c r="J134" s="478">
        <f t="shared" si="54"/>
        <v>0</v>
      </c>
      <c r="K134" s="478"/>
      <c r="L134" s="487"/>
      <c r="M134" s="478">
        <f t="shared" si="55"/>
        <v>0</v>
      </c>
      <c r="N134" s="487"/>
      <c r="O134" s="478">
        <f t="shared" si="56"/>
        <v>0</v>
      </c>
      <c r="P134" s="478">
        <f t="shared" si="57"/>
        <v>0</v>
      </c>
    </row>
    <row r="135" spans="2:16">
      <c r="B135" s="160" t="str">
        <f t="shared" si="34"/>
        <v/>
      </c>
      <c r="C135" s="472">
        <f>IF(D93="","-",+C134+1)</f>
        <v>2045</v>
      </c>
      <c r="D135" s="347">
        <f>IF(F134+SUM(E$99:E134)=D$92,F134,D$92-SUM(E$99:E134))</f>
        <v>131223</v>
      </c>
      <c r="E135" s="486">
        <f>IF(+J96&lt;F134,J96,D135)</f>
        <v>22919</v>
      </c>
      <c r="F135" s="485">
        <f t="shared" si="52"/>
        <v>108304</v>
      </c>
      <c r="G135" s="485">
        <f t="shared" si="53"/>
        <v>119763.5</v>
      </c>
      <c r="H135" s="486">
        <f t="shared" si="50"/>
        <v>36114.86014767288</v>
      </c>
      <c r="I135" s="542">
        <f t="shared" si="58"/>
        <v>36114.86014767288</v>
      </c>
      <c r="J135" s="478">
        <f t="shared" si="54"/>
        <v>0</v>
      </c>
      <c r="K135" s="478"/>
      <c r="L135" s="487"/>
      <c r="M135" s="478">
        <f t="shared" si="55"/>
        <v>0</v>
      </c>
      <c r="N135" s="487"/>
      <c r="O135" s="478">
        <f t="shared" si="56"/>
        <v>0</v>
      </c>
      <c r="P135" s="478">
        <f t="shared" si="57"/>
        <v>0</v>
      </c>
    </row>
    <row r="136" spans="2:16">
      <c r="B136" s="160" t="str">
        <f t="shared" si="34"/>
        <v/>
      </c>
      <c r="C136" s="472">
        <f>IF(D93="","-",+C135+1)</f>
        <v>2046</v>
      </c>
      <c r="D136" s="347">
        <f>IF(F135+SUM(E$99:E135)=D$92,F135,D$92-SUM(E$99:E135))</f>
        <v>108304</v>
      </c>
      <c r="E136" s="486">
        <f>IF(+J96&lt;F135,J96,D136)</f>
        <v>22919</v>
      </c>
      <c r="F136" s="485">
        <f t="shared" si="52"/>
        <v>85385</v>
      </c>
      <c r="G136" s="485">
        <f t="shared" si="53"/>
        <v>96844.5</v>
      </c>
      <c r="H136" s="486">
        <f t="shared" si="50"/>
        <v>33589.583926415864</v>
      </c>
      <c r="I136" s="542">
        <f t="shared" si="58"/>
        <v>33589.583926415864</v>
      </c>
      <c r="J136" s="478">
        <f t="shared" si="54"/>
        <v>0</v>
      </c>
      <c r="K136" s="478"/>
      <c r="L136" s="487"/>
      <c r="M136" s="478">
        <f t="shared" si="55"/>
        <v>0</v>
      </c>
      <c r="N136" s="487"/>
      <c r="O136" s="478">
        <f t="shared" si="56"/>
        <v>0</v>
      </c>
      <c r="P136" s="478">
        <f t="shared" si="57"/>
        <v>0</v>
      </c>
    </row>
    <row r="137" spans="2:16">
      <c r="B137" s="160" t="str">
        <f t="shared" si="34"/>
        <v/>
      </c>
      <c r="C137" s="472">
        <f>IF(D93="","-",+C136+1)</f>
        <v>2047</v>
      </c>
      <c r="D137" s="347">
        <f>IF(F136+SUM(E$99:E136)=D$92,F136,D$92-SUM(E$99:E136))</f>
        <v>85385</v>
      </c>
      <c r="E137" s="486">
        <f>IF(+J96&lt;F136,J96,D137)</f>
        <v>22919</v>
      </c>
      <c r="F137" s="485">
        <f t="shared" si="52"/>
        <v>62466</v>
      </c>
      <c r="G137" s="485">
        <f t="shared" si="53"/>
        <v>73925.5</v>
      </c>
      <c r="H137" s="486">
        <f t="shared" si="50"/>
        <v>31064.307705158848</v>
      </c>
      <c r="I137" s="542">
        <f t="shared" si="58"/>
        <v>31064.307705158848</v>
      </c>
      <c r="J137" s="478">
        <f t="shared" si="54"/>
        <v>0</v>
      </c>
      <c r="K137" s="478"/>
      <c r="L137" s="487"/>
      <c r="M137" s="478">
        <f t="shared" si="55"/>
        <v>0</v>
      </c>
      <c r="N137" s="487"/>
      <c r="O137" s="478">
        <f t="shared" si="56"/>
        <v>0</v>
      </c>
      <c r="P137" s="478">
        <f t="shared" si="57"/>
        <v>0</v>
      </c>
    </row>
    <row r="138" spans="2:16">
      <c r="B138" s="160" t="str">
        <f t="shared" si="34"/>
        <v/>
      </c>
      <c r="C138" s="472">
        <f>IF(D93="","-",+C137+1)</f>
        <v>2048</v>
      </c>
      <c r="D138" s="347">
        <f>IF(F137+SUM(E$99:E137)=D$92,F137,D$92-SUM(E$99:E137))</f>
        <v>62466</v>
      </c>
      <c r="E138" s="486">
        <f>IF(+J96&lt;F137,J96,D138)</f>
        <v>22919</v>
      </c>
      <c r="F138" s="485">
        <f t="shared" si="52"/>
        <v>39547</v>
      </c>
      <c r="G138" s="485">
        <f t="shared" si="53"/>
        <v>51006.5</v>
      </c>
      <c r="H138" s="486">
        <f t="shared" si="50"/>
        <v>28539.031483901832</v>
      </c>
      <c r="I138" s="542">
        <f t="shared" si="58"/>
        <v>28539.031483901832</v>
      </c>
      <c r="J138" s="478">
        <f t="shared" si="54"/>
        <v>0</v>
      </c>
      <c r="K138" s="478"/>
      <c r="L138" s="487"/>
      <c r="M138" s="478">
        <f t="shared" si="55"/>
        <v>0</v>
      </c>
      <c r="N138" s="487"/>
      <c r="O138" s="478">
        <f t="shared" si="56"/>
        <v>0</v>
      </c>
      <c r="P138" s="478">
        <f t="shared" si="57"/>
        <v>0</v>
      </c>
    </row>
    <row r="139" spans="2:16">
      <c r="B139" s="160" t="str">
        <f t="shared" si="34"/>
        <v/>
      </c>
      <c r="C139" s="472">
        <f>IF(D93="","-",+C138+1)</f>
        <v>2049</v>
      </c>
      <c r="D139" s="347">
        <f>IF(F138+SUM(E$99:E138)=D$92,F138,D$92-SUM(E$99:E138))</f>
        <v>39547</v>
      </c>
      <c r="E139" s="486">
        <f>IF(+J96&lt;F138,J96,D139)</f>
        <v>22919</v>
      </c>
      <c r="F139" s="485">
        <f t="shared" si="52"/>
        <v>16628</v>
      </c>
      <c r="G139" s="485">
        <f t="shared" si="53"/>
        <v>28087.5</v>
      </c>
      <c r="H139" s="486">
        <f t="shared" si="50"/>
        <v>26013.755262644812</v>
      </c>
      <c r="I139" s="542">
        <f t="shared" si="58"/>
        <v>26013.755262644812</v>
      </c>
      <c r="J139" s="478">
        <f t="shared" si="54"/>
        <v>0</v>
      </c>
      <c r="K139" s="478"/>
      <c r="L139" s="487"/>
      <c r="M139" s="478">
        <f t="shared" si="55"/>
        <v>0</v>
      </c>
      <c r="N139" s="487"/>
      <c r="O139" s="478">
        <f t="shared" si="56"/>
        <v>0</v>
      </c>
      <c r="P139" s="478">
        <f t="shared" si="57"/>
        <v>0</v>
      </c>
    </row>
    <row r="140" spans="2:16">
      <c r="B140" s="160" t="str">
        <f t="shared" si="34"/>
        <v/>
      </c>
      <c r="C140" s="472">
        <f>IF(D93="","-",+C139+1)</f>
        <v>2050</v>
      </c>
      <c r="D140" s="347">
        <f>IF(F139+SUM(E$99:E139)=D$92,F139,D$92-SUM(E$99:E139))</f>
        <v>16628</v>
      </c>
      <c r="E140" s="486">
        <f>IF(+J96&lt;F139,J96,D140)</f>
        <v>16628</v>
      </c>
      <c r="F140" s="485">
        <f t="shared" si="52"/>
        <v>0</v>
      </c>
      <c r="G140" s="485">
        <f t="shared" si="53"/>
        <v>8314</v>
      </c>
      <c r="H140" s="486">
        <f t="shared" si="50"/>
        <v>17544.058576008152</v>
      </c>
      <c r="I140" s="542">
        <f t="shared" si="58"/>
        <v>17544.058576008152</v>
      </c>
      <c r="J140" s="478">
        <f t="shared" si="54"/>
        <v>0</v>
      </c>
      <c r="K140" s="478"/>
      <c r="L140" s="487"/>
      <c r="M140" s="478">
        <f t="shared" si="55"/>
        <v>0</v>
      </c>
      <c r="N140" s="487"/>
      <c r="O140" s="478">
        <f t="shared" si="56"/>
        <v>0</v>
      </c>
      <c r="P140" s="478">
        <f t="shared" si="57"/>
        <v>0</v>
      </c>
    </row>
    <row r="141" spans="2:16">
      <c r="B141" s="160" t="str">
        <f t="shared" si="34"/>
        <v/>
      </c>
      <c r="C141" s="472">
        <f>IF(D93="","-",+C140+1)</f>
        <v>2051</v>
      </c>
      <c r="D141" s="347">
        <f>IF(F140+SUM(E$99:E140)=D$92,F140,D$92-SUM(E$99:E140))</f>
        <v>0</v>
      </c>
      <c r="E141" s="486">
        <f>IF(+J96&lt;F140,J96,D141)</f>
        <v>0</v>
      </c>
      <c r="F141" s="485">
        <f t="shared" si="52"/>
        <v>0</v>
      </c>
      <c r="G141" s="485">
        <f t="shared" si="53"/>
        <v>0</v>
      </c>
      <c r="H141" s="486">
        <f t="shared" si="50"/>
        <v>0</v>
      </c>
      <c r="I141" s="542">
        <f t="shared" si="58"/>
        <v>0</v>
      </c>
      <c r="J141" s="478">
        <f t="shared" si="54"/>
        <v>0</v>
      </c>
      <c r="K141" s="478"/>
      <c r="L141" s="487"/>
      <c r="M141" s="478">
        <f t="shared" si="55"/>
        <v>0</v>
      </c>
      <c r="N141" s="487"/>
      <c r="O141" s="478">
        <f t="shared" si="56"/>
        <v>0</v>
      </c>
      <c r="P141" s="478">
        <f t="shared" si="57"/>
        <v>0</v>
      </c>
    </row>
    <row r="142" spans="2:16">
      <c r="B142" s="160" t="str">
        <f t="shared" si="34"/>
        <v/>
      </c>
      <c r="C142" s="472">
        <f>IF(D93="","-",+C141+1)</f>
        <v>2052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2"/>
        <v>0</v>
      </c>
      <c r="G142" s="485">
        <f t="shared" si="53"/>
        <v>0</v>
      </c>
      <c r="H142" s="486">
        <f t="shared" si="50"/>
        <v>0</v>
      </c>
      <c r="I142" s="542">
        <f t="shared" si="58"/>
        <v>0</v>
      </c>
      <c r="J142" s="478">
        <f t="shared" si="54"/>
        <v>0</v>
      </c>
      <c r="K142" s="478"/>
      <c r="L142" s="487"/>
      <c r="M142" s="478">
        <f t="shared" si="55"/>
        <v>0</v>
      </c>
      <c r="N142" s="487"/>
      <c r="O142" s="478">
        <f t="shared" si="56"/>
        <v>0</v>
      </c>
      <c r="P142" s="478">
        <f t="shared" si="57"/>
        <v>0</v>
      </c>
    </row>
    <row r="143" spans="2:16">
      <c r="B143" s="160" t="str">
        <f t="shared" si="34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2"/>
        <v>0</v>
      </c>
      <c r="G143" s="485">
        <f t="shared" si="53"/>
        <v>0</v>
      </c>
      <c r="H143" s="486">
        <f t="shared" si="50"/>
        <v>0</v>
      </c>
      <c r="I143" s="542">
        <f t="shared" si="58"/>
        <v>0</v>
      </c>
      <c r="J143" s="478">
        <f t="shared" si="54"/>
        <v>0</v>
      </c>
      <c r="K143" s="478"/>
      <c r="L143" s="487"/>
      <c r="M143" s="478">
        <f t="shared" si="55"/>
        <v>0</v>
      </c>
      <c r="N143" s="487"/>
      <c r="O143" s="478">
        <f t="shared" si="56"/>
        <v>0</v>
      </c>
      <c r="P143" s="478">
        <f t="shared" si="57"/>
        <v>0</v>
      </c>
    </row>
    <row r="144" spans="2:16">
      <c r="B144" s="160" t="str">
        <f t="shared" si="34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2"/>
        <v>0</v>
      </c>
      <c r="G144" s="485">
        <f t="shared" si="53"/>
        <v>0</v>
      </c>
      <c r="H144" s="486">
        <f t="shared" si="50"/>
        <v>0</v>
      </c>
      <c r="I144" s="542">
        <f t="shared" si="58"/>
        <v>0</v>
      </c>
      <c r="J144" s="478">
        <f t="shared" si="54"/>
        <v>0</v>
      </c>
      <c r="K144" s="478"/>
      <c r="L144" s="487"/>
      <c r="M144" s="478">
        <f t="shared" si="55"/>
        <v>0</v>
      </c>
      <c r="N144" s="487"/>
      <c r="O144" s="478">
        <f t="shared" si="56"/>
        <v>0</v>
      </c>
      <c r="P144" s="478">
        <f t="shared" si="57"/>
        <v>0</v>
      </c>
    </row>
    <row r="145" spans="2:16">
      <c r="B145" s="160" t="str">
        <f t="shared" si="34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2"/>
        <v>0</v>
      </c>
      <c r="G145" s="485">
        <f t="shared" si="53"/>
        <v>0</v>
      </c>
      <c r="H145" s="486">
        <f t="shared" si="50"/>
        <v>0</v>
      </c>
      <c r="I145" s="542">
        <f t="shared" si="58"/>
        <v>0</v>
      </c>
      <c r="J145" s="478">
        <f t="shared" si="54"/>
        <v>0</v>
      </c>
      <c r="K145" s="478"/>
      <c r="L145" s="487"/>
      <c r="M145" s="478">
        <f t="shared" si="55"/>
        <v>0</v>
      </c>
      <c r="N145" s="487"/>
      <c r="O145" s="478">
        <f t="shared" si="56"/>
        <v>0</v>
      </c>
      <c r="P145" s="478">
        <f t="shared" si="57"/>
        <v>0</v>
      </c>
    </row>
    <row r="146" spans="2:16">
      <c r="B146" s="160" t="str">
        <f t="shared" si="34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2"/>
        <v>0</v>
      </c>
      <c r="G146" s="485">
        <f t="shared" si="53"/>
        <v>0</v>
      </c>
      <c r="H146" s="486">
        <f t="shared" si="50"/>
        <v>0</v>
      </c>
      <c r="I146" s="542">
        <f t="shared" si="58"/>
        <v>0</v>
      </c>
      <c r="J146" s="478">
        <f t="shared" si="54"/>
        <v>0</v>
      </c>
      <c r="K146" s="478"/>
      <c r="L146" s="487"/>
      <c r="M146" s="478">
        <f t="shared" si="55"/>
        <v>0</v>
      </c>
      <c r="N146" s="487"/>
      <c r="O146" s="478">
        <f t="shared" si="56"/>
        <v>0</v>
      </c>
      <c r="P146" s="478">
        <f t="shared" si="57"/>
        <v>0</v>
      </c>
    </row>
    <row r="147" spans="2:16">
      <c r="B147" s="160" t="str">
        <f t="shared" si="34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2"/>
        <v>0</v>
      </c>
      <c r="G147" s="485">
        <f t="shared" si="53"/>
        <v>0</v>
      </c>
      <c r="H147" s="486">
        <f t="shared" si="50"/>
        <v>0</v>
      </c>
      <c r="I147" s="542">
        <f t="shared" si="58"/>
        <v>0</v>
      </c>
      <c r="J147" s="478">
        <f t="shared" si="54"/>
        <v>0</v>
      </c>
      <c r="K147" s="478"/>
      <c r="L147" s="487"/>
      <c r="M147" s="478">
        <f t="shared" si="55"/>
        <v>0</v>
      </c>
      <c r="N147" s="487"/>
      <c r="O147" s="478">
        <f t="shared" si="56"/>
        <v>0</v>
      </c>
      <c r="P147" s="478">
        <f t="shared" si="57"/>
        <v>0</v>
      </c>
    </row>
    <row r="148" spans="2:16">
      <c r="B148" s="160" t="str">
        <f t="shared" si="34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2"/>
        <v>0</v>
      </c>
      <c r="G148" s="485">
        <f t="shared" si="53"/>
        <v>0</v>
      </c>
      <c r="H148" s="486">
        <f t="shared" si="50"/>
        <v>0</v>
      </c>
      <c r="I148" s="542">
        <f t="shared" si="58"/>
        <v>0</v>
      </c>
      <c r="J148" s="478">
        <f t="shared" si="54"/>
        <v>0</v>
      </c>
      <c r="K148" s="478"/>
      <c r="L148" s="487"/>
      <c r="M148" s="478">
        <f t="shared" si="55"/>
        <v>0</v>
      </c>
      <c r="N148" s="487"/>
      <c r="O148" s="478">
        <f t="shared" si="56"/>
        <v>0</v>
      </c>
      <c r="P148" s="478">
        <f t="shared" si="57"/>
        <v>0</v>
      </c>
    </row>
    <row r="149" spans="2:16">
      <c r="B149" s="160" t="str">
        <f t="shared" si="34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2"/>
        <v>0</v>
      </c>
      <c r="G149" s="485">
        <f t="shared" si="53"/>
        <v>0</v>
      </c>
      <c r="H149" s="486">
        <f t="shared" si="50"/>
        <v>0</v>
      </c>
      <c r="I149" s="542">
        <f t="shared" si="58"/>
        <v>0</v>
      </c>
      <c r="J149" s="478">
        <f t="shared" si="54"/>
        <v>0</v>
      </c>
      <c r="K149" s="478"/>
      <c r="L149" s="487"/>
      <c r="M149" s="478">
        <f t="shared" si="55"/>
        <v>0</v>
      </c>
      <c r="N149" s="487"/>
      <c r="O149" s="478">
        <f t="shared" si="56"/>
        <v>0</v>
      </c>
      <c r="P149" s="478">
        <f t="shared" si="57"/>
        <v>0</v>
      </c>
    </row>
    <row r="150" spans="2:16">
      <c r="B150" s="160" t="str">
        <f t="shared" si="34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2"/>
        <v>0</v>
      </c>
      <c r="G150" s="485">
        <f t="shared" si="53"/>
        <v>0</v>
      </c>
      <c r="H150" s="486">
        <f t="shared" si="50"/>
        <v>0</v>
      </c>
      <c r="I150" s="542">
        <f t="shared" si="58"/>
        <v>0</v>
      </c>
      <c r="J150" s="478">
        <f t="shared" si="54"/>
        <v>0</v>
      </c>
      <c r="K150" s="478"/>
      <c r="L150" s="487"/>
      <c r="M150" s="478">
        <f t="shared" si="55"/>
        <v>0</v>
      </c>
      <c r="N150" s="487"/>
      <c r="O150" s="478">
        <f t="shared" si="56"/>
        <v>0</v>
      </c>
      <c r="P150" s="478">
        <f t="shared" si="57"/>
        <v>0</v>
      </c>
    </row>
    <row r="151" spans="2:16">
      <c r="B151" s="160" t="str">
        <f t="shared" si="34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2"/>
        <v>0</v>
      </c>
      <c r="G151" s="485">
        <f t="shared" si="53"/>
        <v>0</v>
      </c>
      <c r="H151" s="486">
        <f t="shared" si="50"/>
        <v>0</v>
      </c>
      <c r="I151" s="542">
        <f t="shared" si="58"/>
        <v>0</v>
      </c>
      <c r="J151" s="478">
        <f t="shared" si="54"/>
        <v>0</v>
      </c>
      <c r="K151" s="478"/>
      <c r="L151" s="487"/>
      <c r="M151" s="478">
        <f t="shared" si="55"/>
        <v>0</v>
      </c>
      <c r="N151" s="487"/>
      <c r="O151" s="478">
        <f t="shared" si="56"/>
        <v>0</v>
      </c>
      <c r="P151" s="478">
        <f t="shared" si="57"/>
        <v>0</v>
      </c>
    </row>
    <row r="152" spans="2:16">
      <c r="B152" s="160" t="str">
        <f t="shared" si="34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2"/>
        <v>0</v>
      </c>
      <c r="G152" s="485">
        <f t="shared" si="53"/>
        <v>0</v>
      </c>
      <c r="H152" s="486">
        <f t="shared" si="50"/>
        <v>0</v>
      </c>
      <c r="I152" s="542">
        <f t="shared" si="58"/>
        <v>0</v>
      </c>
      <c r="J152" s="478">
        <f t="shared" si="54"/>
        <v>0</v>
      </c>
      <c r="K152" s="478"/>
      <c r="L152" s="487"/>
      <c r="M152" s="478">
        <f t="shared" si="55"/>
        <v>0</v>
      </c>
      <c r="N152" s="487"/>
      <c r="O152" s="478">
        <f t="shared" si="56"/>
        <v>0</v>
      </c>
      <c r="P152" s="478">
        <f t="shared" si="57"/>
        <v>0</v>
      </c>
    </row>
    <row r="153" spans="2:16">
      <c r="B153" s="160" t="str">
        <f t="shared" si="34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2"/>
        <v>0</v>
      </c>
      <c r="G153" s="485">
        <f t="shared" si="53"/>
        <v>0</v>
      </c>
      <c r="H153" s="486">
        <f t="shared" si="50"/>
        <v>0</v>
      </c>
      <c r="I153" s="542">
        <f t="shared" si="58"/>
        <v>0</v>
      </c>
      <c r="J153" s="478">
        <f t="shared" si="54"/>
        <v>0</v>
      </c>
      <c r="K153" s="478"/>
      <c r="L153" s="487"/>
      <c r="M153" s="478">
        <f t="shared" si="55"/>
        <v>0</v>
      </c>
      <c r="N153" s="487"/>
      <c r="O153" s="478">
        <f t="shared" si="56"/>
        <v>0</v>
      </c>
      <c r="P153" s="478">
        <f t="shared" si="57"/>
        <v>0</v>
      </c>
    </row>
    <row r="154" spans="2:16" ht="13.5" thickBot="1">
      <c r="B154" s="160" t="str">
        <f t="shared" si="34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2"/>
        <v>0</v>
      </c>
      <c r="G154" s="490">
        <f t="shared" si="53"/>
        <v>0</v>
      </c>
      <c r="H154" s="490">
        <f t="shared" si="50"/>
        <v>0</v>
      </c>
      <c r="I154" s="545">
        <f t="shared" si="58"/>
        <v>0</v>
      </c>
      <c r="J154" s="495">
        <f t="shared" si="54"/>
        <v>0</v>
      </c>
      <c r="K154" s="478"/>
      <c r="L154" s="494"/>
      <c r="M154" s="495">
        <f t="shared" si="55"/>
        <v>0</v>
      </c>
      <c r="N154" s="494"/>
      <c r="O154" s="495">
        <f t="shared" si="56"/>
        <v>0</v>
      </c>
      <c r="P154" s="495">
        <f t="shared" si="57"/>
        <v>0</v>
      </c>
    </row>
    <row r="155" spans="2:16">
      <c r="C155" s="347" t="s">
        <v>77</v>
      </c>
      <c r="D155" s="348"/>
      <c r="E155" s="348">
        <f>SUM(E99:E154)</f>
        <v>893858</v>
      </c>
      <c r="F155" s="348"/>
      <c r="G155" s="348"/>
      <c r="H155" s="348">
        <f>SUM(H99:H154)</f>
        <v>3223225.7554499418</v>
      </c>
      <c r="I155" s="348">
        <f>SUM(I99:I154)</f>
        <v>3223225.7554499418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48" t="s">
        <v>145</v>
      </c>
    </row>
  </sheetData>
  <phoneticPr fontId="0" type="noConversion"/>
  <conditionalFormatting sqref="C17:C72">
    <cfRule type="cellIs" dxfId="66" priority="1" stopIfTrue="1" operator="equal">
      <formula>$I$10</formula>
    </cfRule>
  </conditionalFormatting>
  <conditionalFormatting sqref="C99:C154">
    <cfRule type="cellIs" dxfId="6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P162"/>
  <sheetViews>
    <sheetView view="pageBreakPreview" zoomScale="75" zoomScaleNormal="100" workbookViewId="0">
      <selection activeCell="D92" sqref="D9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2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470894.83739416272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470894.83739416272</v>
      </c>
      <c r="O6" s="233"/>
      <c r="P6" s="233"/>
    </row>
    <row r="7" spans="1:16" ht="13.5" thickBot="1">
      <c r="C7" s="431" t="s">
        <v>46</v>
      </c>
      <c r="D7" s="432" t="s">
        <v>210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80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4688896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111640.38095238095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6704177</v>
      </c>
      <c r="E17" s="474">
        <v>73788</v>
      </c>
      <c r="F17" s="473">
        <v>6630389</v>
      </c>
      <c r="G17" s="474">
        <v>750999</v>
      </c>
      <c r="H17" s="474">
        <v>750999</v>
      </c>
      <c r="I17" s="475">
        <f t="shared" ref="I17:I48" si="0">H17-G17</f>
        <v>0</v>
      </c>
      <c r="J17" s="475"/>
      <c r="K17" s="476">
        <v>750999</v>
      </c>
      <c r="L17" s="477">
        <f t="shared" ref="L17:L48" si="1">IF(K17&lt;&gt;0,+G17-K17,0)</f>
        <v>0</v>
      </c>
      <c r="M17" s="476">
        <v>750999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4651603</v>
      </c>
      <c r="E18" s="480">
        <v>84382</v>
      </c>
      <c r="F18" s="479">
        <v>4567221</v>
      </c>
      <c r="G18" s="480">
        <v>743416</v>
      </c>
      <c r="H18" s="481">
        <v>743416</v>
      </c>
      <c r="I18" s="475">
        <f t="shared" si="0"/>
        <v>0</v>
      </c>
      <c r="J18" s="475"/>
      <c r="K18" s="476">
        <f t="shared" ref="K18:K23" si="4">G18</f>
        <v>743416</v>
      </c>
      <c r="L18" s="550">
        <f t="shared" si="1"/>
        <v>0</v>
      </c>
      <c r="M18" s="476">
        <f t="shared" ref="M18:M23" si="5">H18</f>
        <v>743416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2011</v>
      </c>
      <c r="D19" s="479">
        <v>4530726</v>
      </c>
      <c r="E19" s="480">
        <v>91939.137254901958</v>
      </c>
      <c r="F19" s="479">
        <v>4438786.8627450978</v>
      </c>
      <c r="G19" s="480">
        <v>786801.66702531651</v>
      </c>
      <c r="H19" s="481">
        <v>786801.66702531651</v>
      </c>
      <c r="I19" s="475">
        <f t="shared" si="0"/>
        <v>0</v>
      </c>
      <c r="J19" s="475"/>
      <c r="K19" s="476">
        <f t="shared" si="4"/>
        <v>786801.66702531651</v>
      </c>
      <c r="L19" s="550">
        <f t="shared" si="1"/>
        <v>0</v>
      </c>
      <c r="M19" s="476">
        <f t="shared" si="5"/>
        <v>786801.66702531651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4438786.8627450978</v>
      </c>
      <c r="E20" s="480">
        <v>90171.076923076922</v>
      </c>
      <c r="F20" s="479">
        <v>4348615.7858220208</v>
      </c>
      <c r="G20" s="480">
        <v>695527.67751323315</v>
      </c>
      <c r="H20" s="481">
        <v>695527.67751323315</v>
      </c>
      <c r="I20" s="475">
        <f t="shared" si="0"/>
        <v>0</v>
      </c>
      <c r="J20" s="475"/>
      <c r="K20" s="476">
        <f t="shared" si="4"/>
        <v>695527.67751323315</v>
      </c>
      <c r="L20" s="550">
        <f t="shared" si="1"/>
        <v>0</v>
      </c>
      <c r="M20" s="476">
        <f t="shared" si="5"/>
        <v>695527.67751323315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2013</v>
      </c>
      <c r="D21" s="479">
        <v>4348615.7858220208</v>
      </c>
      <c r="E21" s="480">
        <v>90171.076923076922</v>
      </c>
      <c r="F21" s="479">
        <v>4258444.7088989438</v>
      </c>
      <c r="G21" s="480">
        <v>698305.7699783385</v>
      </c>
      <c r="H21" s="481">
        <v>698305.7699783385</v>
      </c>
      <c r="I21" s="475">
        <v>0</v>
      </c>
      <c r="J21" s="475"/>
      <c r="K21" s="476">
        <f t="shared" si="4"/>
        <v>698305.7699783385</v>
      </c>
      <c r="L21" s="550">
        <f t="shared" ref="L21:L26" si="7">IF(K21&lt;&gt;0,+G21-K21,0)</f>
        <v>0</v>
      </c>
      <c r="M21" s="476">
        <f t="shared" si="5"/>
        <v>698305.7699783385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4258444.7088989438</v>
      </c>
      <c r="E22" s="480">
        <v>90171.076923076922</v>
      </c>
      <c r="F22" s="479">
        <v>4168273.6319758669</v>
      </c>
      <c r="G22" s="480">
        <v>663970.48849892756</v>
      </c>
      <c r="H22" s="481">
        <v>663970.48849892756</v>
      </c>
      <c r="I22" s="475">
        <v>0</v>
      </c>
      <c r="J22" s="475"/>
      <c r="K22" s="476">
        <f t="shared" si="4"/>
        <v>663970.48849892756</v>
      </c>
      <c r="L22" s="550">
        <f t="shared" si="7"/>
        <v>0</v>
      </c>
      <c r="M22" s="476">
        <f t="shared" si="5"/>
        <v>663970.48849892756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2015</v>
      </c>
      <c r="D23" s="479">
        <v>4168273.6319758669</v>
      </c>
      <c r="E23" s="480">
        <v>90171.076923076922</v>
      </c>
      <c r="F23" s="479">
        <v>4078102.5550527899</v>
      </c>
      <c r="G23" s="480">
        <v>652425.83265151177</v>
      </c>
      <c r="H23" s="481">
        <v>652425.83265151177</v>
      </c>
      <c r="I23" s="475">
        <v>0</v>
      </c>
      <c r="J23" s="475"/>
      <c r="K23" s="476">
        <f t="shared" si="4"/>
        <v>652425.83265151177</v>
      </c>
      <c r="L23" s="550">
        <f t="shared" si="7"/>
        <v>0</v>
      </c>
      <c r="M23" s="476">
        <f t="shared" si="5"/>
        <v>652425.83265151177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4078102.5550527899</v>
      </c>
      <c r="E24" s="480">
        <v>90171.076923076922</v>
      </c>
      <c r="F24" s="479">
        <v>3987931.4781297129</v>
      </c>
      <c r="G24" s="480">
        <v>613226.71011811122</v>
      </c>
      <c r="H24" s="481">
        <v>613226.71011811122</v>
      </c>
      <c r="I24" s="475">
        <f t="shared" si="0"/>
        <v>0</v>
      </c>
      <c r="J24" s="475"/>
      <c r="K24" s="476">
        <f t="shared" ref="K24:K29" si="10">G24</f>
        <v>613226.71011811122</v>
      </c>
      <c r="L24" s="550">
        <f t="shared" si="7"/>
        <v>0</v>
      </c>
      <c r="M24" s="476">
        <f t="shared" ref="M24:M29" si="11">H24</f>
        <v>613226.71011811122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3987931.4781297129</v>
      </c>
      <c r="E25" s="480">
        <v>101932.52173913043</v>
      </c>
      <c r="F25" s="479">
        <v>3885998.9563905825</v>
      </c>
      <c r="G25" s="480">
        <v>596467.29312714399</v>
      </c>
      <c r="H25" s="481">
        <v>596467.29312714399</v>
      </c>
      <c r="I25" s="475">
        <f t="shared" si="0"/>
        <v>0</v>
      </c>
      <c r="J25" s="551"/>
      <c r="K25" s="476">
        <f t="shared" si="10"/>
        <v>596467.29312714399</v>
      </c>
      <c r="L25" s="550">
        <f t="shared" si="7"/>
        <v>0</v>
      </c>
      <c r="M25" s="476">
        <f t="shared" si="11"/>
        <v>596467.29312714399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2018</v>
      </c>
      <c r="D26" s="479">
        <v>3885998.9563905825</v>
      </c>
      <c r="E26" s="480">
        <v>104197.68888888889</v>
      </c>
      <c r="F26" s="479">
        <v>3781801.2675016937</v>
      </c>
      <c r="G26" s="480">
        <v>563341.50507496181</v>
      </c>
      <c r="H26" s="481">
        <v>563341.50507496181</v>
      </c>
      <c r="I26" s="475">
        <f t="shared" si="0"/>
        <v>0</v>
      </c>
      <c r="J26" s="551"/>
      <c r="K26" s="476">
        <f t="shared" si="10"/>
        <v>563341.50507496181</v>
      </c>
      <c r="L26" s="550">
        <f t="shared" si="7"/>
        <v>0</v>
      </c>
      <c r="M26" s="476">
        <f t="shared" si="11"/>
        <v>563341.50507496181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3781801.2675016937</v>
      </c>
      <c r="E27" s="480">
        <v>117222.39999999999</v>
      </c>
      <c r="F27" s="479">
        <v>3664578.8675016938</v>
      </c>
      <c r="G27" s="480">
        <v>532941.26061774243</v>
      </c>
      <c r="H27" s="481">
        <v>532941.26061774243</v>
      </c>
      <c r="I27" s="475">
        <f t="shared" si="0"/>
        <v>0</v>
      </c>
      <c r="J27" s="552"/>
      <c r="K27" s="476">
        <f t="shared" si="10"/>
        <v>532941.26061774243</v>
      </c>
      <c r="L27" s="550">
        <f t="shared" ref="L27" si="12">IF(K27&lt;&gt;0,+G27-K27,0)</f>
        <v>0</v>
      </c>
      <c r="M27" s="476">
        <f t="shared" si="11"/>
        <v>532941.26061774243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>IU</v>
      </c>
      <c r="C28" s="472">
        <f>IF(D11="","-",+C27+1)</f>
        <v>2020</v>
      </c>
      <c r="D28" s="479">
        <v>3677603.5786128049</v>
      </c>
      <c r="E28" s="480">
        <v>111640.38095238095</v>
      </c>
      <c r="F28" s="479">
        <v>3565963.1976604238</v>
      </c>
      <c r="G28" s="480">
        <v>502810.28780425031</v>
      </c>
      <c r="H28" s="481">
        <v>502810.28780425031</v>
      </c>
      <c r="I28" s="475">
        <f t="shared" si="0"/>
        <v>0</v>
      </c>
      <c r="J28" s="475"/>
      <c r="K28" s="476">
        <f t="shared" si="10"/>
        <v>502810.28780425031</v>
      </c>
      <c r="L28" s="550">
        <f t="shared" ref="L28" si="15">IF(K28&lt;&gt;0,+G28-K28,0)</f>
        <v>0</v>
      </c>
      <c r="M28" s="476">
        <f t="shared" si="11"/>
        <v>502810.28780425031</v>
      </c>
      <c r="N28" s="478">
        <f t="shared" ref="N28" si="16">IF(M28&lt;&gt;0,+H28-M28,0)</f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3552938.4865493132</v>
      </c>
      <c r="E29" s="480">
        <v>109044.09302325582</v>
      </c>
      <c r="F29" s="479">
        <v>3443894.3935260572</v>
      </c>
      <c r="G29" s="480">
        <v>480370.47549623175</v>
      </c>
      <c r="H29" s="481">
        <v>480370.47549623175</v>
      </c>
      <c r="I29" s="475">
        <f t="shared" si="0"/>
        <v>0</v>
      </c>
      <c r="J29" s="475"/>
      <c r="K29" s="476">
        <f t="shared" si="10"/>
        <v>480370.47549623175</v>
      </c>
      <c r="L29" s="550">
        <f t="shared" ref="L29" si="17">IF(K29&lt;&gt;0,+G29-K29,0)</f>
        <v>0</v>
      </c>
      <c r="M29" s="476">
        <f t="shared" si="11"/>
        <v>480370.47549623175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/>
      </c>
      <c r="C30" s="472">
        <f>IF(D11="","-",+C29+1)</f>
        <v>2022</v>
      </c>
      <c r="D30" s="479">
        <v>3443894.3935260572</v>
      </c>
      <c r="E30" s="480">
        <v>111640.38095238095</v>
      </c>
      <c r="F30" s="479">
        <v>3332254.0125736762</v>
      </c>
      <c r="G30" s="480">
        <v>470894.83739416272</v>
      </c>
      <c r="H30" s="481">
        <v>470894.83739416272</v>
      </c>
      <c r="I30" s="475">
        <f t="shared" si="0"/>
        <v>0</v>
      </c>
      <c r="J30" s="475"/>
      <c r="K30" s="476">
        <f t="shared" ref="K30" si="18">G30</f>
        <v>470894.83739416272</v>
      </c>
      <c r="L30" s="550">
        <f t="shared" ref="L30" si="19">IF(K30&lt;&gt;0,+G30-K30,0)</f>
        <v>0</v>
      </c>
      <c r="M30" s="476">
        <f t="shared" ref="M30" si="20">H30</f>
        <v>470894.83739416272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3332254.0125736762</v>
      </c>
      <c r="E31" s="484">
        <f>IF(+I14&lt;F30,I14,D31)</f>
        <v>111640.38095238095</v>
      </c>
      <c r="F31" s="485">
        <f t="shared" ref="F31:F48" si="21">+D31-E31</f>
        <v>3220613.6316212951</v>
      </c>
      <c r="G31" s="486">
        <f t="shared" ref="G31:G72" si="22">(D31+F31)/2*I$12+E31</f>
        <v>464876.79311772657</v>
      </c>
      <c r="H31" s="455">
        <f t="shared" ref="H31:H72" si="23">+(D31+F31)/2*I$13+E31</f>
        <v>464876.79311772657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3220613.6316212951</v>
      </c>
      <c r="E32" s="484">
        <f>IF(+I14&lt;F31,I14,D32)</f>
        <v>111640.38095238095</v>
      </c>
      <c r="F32" s="485">
        <f t="shared" si="21"/>
        <v>3108973.2506689141</v>
      </c>
      <c r="G32" s="486">
        <f t="shared" si="22"/>
        <v>452840.70456485415</v>
      </c>
      <c r="H32" s="455">
        <f t="shared" si="23"/>
        <v>452840.70456485415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3108973.2506689141</v>
      </c>
      <c r="E33" s="484">
        <f>IF(+I14&lt;F32,I14,D33)</f>
        <v>111640.38095238095</v>
      </c>
      <c r="F33" s="485">
        <f t="shared" si="21"/>
        <v>2997332.869716533</v>
      </c>
      <c r="G33" s="486">
        <f t="shared" si="22"/>
        <v>440804.61601198179</v>
      </c>
      <c r="H33" s="455">
        <f t="shared" si="23"/>
        <v>440804.61601198179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2997332.869716533</v>
      </c>
      <c r="E34" s="484">
        <f>IF(+I14&lt;F33,I14,D34)</f>
        <v>111640.38095238095</v>
      </c>
      <c r="F34" s="485">
        <f t="shared" si="21"/>
        <v>2885692.4887641519</v>
      </c>
      <c r="G34" s="486">
        <f t="shared" si="22"/>
        <v>428768.52745910938</v>
      </c>
      <c r="H34" s="455">
        <f t="shared" si="23"/>
        <v>428768.52745910938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2885692.4887641519</v>
      </c>
      <c r="E35" s="484">
        <f>IF(+I14&lt;F34,I14,D35)</f>
        <v>111640.38095238095</v>
      </c>
      <c r="F35" s="485">
        <f t="shared" si="21"/>
        <v>2774052.1078117709</v>
      </c>
      <c r="G35" s="486">
        <f t="shared" si="22"/>
        <v>416732.43890623702</v>
      </c>
      <c r="H35" s="455">
        <f t="shared" si="23"/>
        <v>416732.43890623702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2774052.1078117709</v>
      </c>
      <c r="E36" s="484">
        <f>IF(+I14&lt;F35,I14,D36)</f>
        <v>111640.38095238095</v>
      </c>
      <c r="F36" s="485">
        <f t="shared" si="21"/>
        <v>2662411.7268593898</v>
      </c>
      <c r="G36" s="486">
        <f t="shared" si="22"/>
        <v>404696.3503533646</v>
      </c>
      <c r="H36" s="455">
        <f t="shared" si="23"/>
        <v>404696.3503533646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2662411.7268593898</v>
      </c>
      <c r="E37" s="484">
        <f>IF(+I14&lt;F36,I14,D37)</f>
        <v>111640.38095238095</v>
      </c>
      <c r="F37" s="485">
        <f t="shared" si="21"/>
        <v>2550771.3459070087</v>
      </c>
      <c r="G37" s="486">
        <f t="shared" si="22"/>
        <v>392660.26180049224</v>
      </c>
      <c r="H37" s="455">
        <f t="shared" si="23"/>
        <v>392660.26180049224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2550771.3459070087</v>
      </c>
      <c r="E38" s="484">
        <f>IF(+I14&lt;F37,I14,D38)</f>
        <v>111640.38095238095</v>
      </c>
      <c r="F38" s="485">
        <f t="shared" si="21"/>
        <v>2439130.9649546277</v>
      </c>
      <c r="G38" s="486">
        <f t="shared" si="22"/>
        <v>380624.17324761982</v>
      </c>
      <c r="H38" s="455">
        <f t="shared" si="23"/>
        <v>380624.17324761982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2439130.9649546277</v>
      </c>
      <c r="E39" s="484">
        <f>IF(+I14&lt;F38,I14,D39)</f>
        <v>111640.38095238095</v>
      </c>
      <c r="F39" s="485">
        <f t="shared" si="21"/>
        <v>2327490.5840022466</v>
      </c>
      <c r="G39" s="486">
        <f t="shared" si="22"/>
        <v>368588.08469474746</v>
      </c>
      <c r="H39" s="455">
        <f t="shared" si="23"/>
        <v>368588.08469474746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2327490.5840022466</v>
      </c>
      <c r="E40" s="484">
        <f>IF(+I14&lt;F39,I14,D40)</f>
        <v>111640.38095238095</v>
      </c>
      <c r="F40" s="485">
        <f t="shared" si="21"/>
        <v>2215850.2030498656</v>
      </c>
      <c r="G40" s="486">
        <f t="shared" si="22"/>
        <v>356551.99614187505</v>
      </c>
      <c r="H40" s="455">
        <f t="shared" si="23"/>
        <v>356551.99614187505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2215850.2030498656</v>
      </c>
      <c r="E41" s="484">
        <f>IF(+I14&lt;F40,I14,D41)</f>
        <v>111640.38095238095</v>
      </c>
      <c r="F41" s="485">
        <f t="shared" si="21"/>
        <v>2104209.8220974845</v>
      </c>
      <c r="G41" s="486">
        <f t="shared" si="22"/>
        <v>344515.90758900269</v>
      </c>
      <c r="H41" s="455">
        <f t="shared" si="23"/>
        <v>344515.90758900269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2104209.8220974845</v>
      </c>
      <c r="E42" s="484">
        <f>IF(+I14&lt;F41,I14,D42)</f>
        <v>111640.38095238095</v>
      </c>
      <c r="F42" s="485">
        <f t="shared" si="21"/>
        <v>1992569.4411451034</v>
      </c>
      <c r="G42" s="486">
        <f t="shared" si="22"/>
        <v>332479.81903613027</v>
      </c>
      <c r="H42" s="455">
        <f t="shared" si="23"/>
        <v>332479.81903613027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1992569.4411451034</v>
      </c>
      <c r="E43" s="484">
        <f>IF(+I14&lt;F42,I14,D43)</f>
        <v>111640.38095238095</v>
      </c>
      <c r="F43" s="485">
        <f t="shared" si="21"/>
        <v>1880929.0601927224</v>
      </c>
      <c r="G43" s="486">
        <f t="shared" si="22"/>
        <v>320443.73048325791</v>
      </c>
      <c r="H43" s="455">
        <f t="shared" si="23"/>
        <v>320443.73048325791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1880929.0601927224</v>
      </c>
      <c r="E44" s="484">
        <f>IF(+I14&lt;F43,I14,D44)</f>
        <v>111640.38095238095</v>
      </c>
      <c r="F44" s="485">
        <f t="shared" si="21"/>
        <v>1769288.6792403413</v>
      </c>
      <c r="G44" s="486">
        <f t="shared" si="22"/>
        <v>308407.64193038549</v>
      </c>
      <c r="H44" s="455">
        <f t="shared" si="23"/>
        <v>308407.64193038549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1769288.6792403413</v>
      </c>
      <c r="E45" s="484">
        <f>IF(+I14&lt;F44,I14,D45)</f>
        <v>111640.38095238095</v>
      </c>
      <c r="F45" s="485">
        <f t="shared" si="21"/>
        <v>1657648.2982879602</v>
      </c>
      <c r="G45" s="486">
        <f t="shared" si="22"/>
        <v>296371.55337751308</v>
      </c>
      <c r="H45" s="455">
        <f t="shared" si="23"/>
        <v>296371.55337751308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1657648.2982879602</v>
      </c>
      <c r="E46" s="484">
        <f>IF(+I14&lt;F45,I14,D46)</f>
        <v>111640.38095238095</v>
      </c>
      <c r="F46" s="485">
        <f t="shared" si="21"/>
        <v>1546007.9173355792</v>
      </c>
      <c r="G46" s="486">
        <f t="shared" si="22"/>
        <v>284335.46482464072</v>
      </c>
      <c r="H46" s="455">
        <f t="shared" si="23"/>
        <v>284335.46482464072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1546007.9173355792</v>
      </c>
      <c r="E47" s="484">
        <f>IF(+I14&lt;F46,I14,D47)</f>
        <v>111640.38095238095</v>
      </c>
      <c r="F47" s="485">
        <f t="shared" si="21"/>
        <v>1434367.5363831981</v>
      </c>
      <c r="G47" s="486">
        <f t="shared" si="22"/>
        <v>272299.37627176836</v>
      </c>
      <c r="H47" s="455">
        <f t="shared" si="23"/>
        <v>272299.37627176836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1434367.5363831981</v>
      </c>
      <c r="E48" s="484">
        <f>IF(+I14&lt;F47,I14,D48)</f>
        <v>111640.38095238095</v>
      </c>
      <c r="F48" s="485">
        <f t="shared" si="21"/>
        <v>1322727.155430817</v>
      </c>
      <c r="G48" s="486">
        <f t="shared" si="22"/>
        <v>260263.28771889594</v>
      </c>
      <c r="H48" s="455">
        <f t="shared" si="23"/>
        <v>260263.28771889594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1322727.155430817</v>
      </c>
      <c r="E49" s="484">
        <f>IF(+I14&lt;F48,I14,D49)</f>
        <v>111640.38095238095</v>
      </c>
      <c r="F49" s="485">
        <f t="shared" ref="F49:F72" si="24">+D49-E49</f>
        <v>1211086.774478436</v>
      </c>
      <c r="G49" s="486">
        <f t="shared" si="22"/>
        <v>248227.19916602355</v>
      </c>
      <c r="H49" s="455">
        <f t="shared" si="23"/>
        <v>248227.19916602355</v>
      </c>
      <c r="I49" s="475">
        <f t="shared" ref="I49:I72" si="25">H49-G49</f>
        <v>0</v>
      </c>
      <c r="J49" s="475"/>
      <c r="K49" s="487"/>
      <c r="L49" s="478">
        <f t="shared" ref="L49:L72" si="26">IF(K49&lt;&gt;0,+G49-K49,0)</f>
        <v>0</v>
      </c>
      <c r="M49" s="487"/>
      <c r="N49" s="478">
        <f t="shared" ref="N49:N72" si="27">IF(M49&lt;&gt;0,+H49-M49,0)</f>
        <v>0</v>
      </c>
      <c r="O49" s="478">
        <f t="shared" ref="O49:O72" si="28">+N49-L49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1211086.774478436</v>
      </c>
      <c r="E50" s="484">
        <f>IF(+I14&lt;F49,I14,D50)</f>
        <v>111640.38095238095</v>
      </c>
      <c r="F50" s="485">
        <f t="shared" si="24"/>
        <v>1099446.3935260549</v>
      </c>
      <c r="G50" s="486">
        <f t="shared" si="22"/>
        <v>236191.11061315116</v>
      </c>
      <c r="H50" s="455">
        <f t="shared" si="23"/>
        <v>236191.11061315116</v>
      </c>
      <c r="I50" s="475">
        <f t="shared" si="25"/>
        <v>0</v>
      </c>
      <c r="J50" s="475"/>
      <c r="K50" s="487"/>
      <c r="L50" s="478">
        <f t="shared" si="26"/>
        <v>0</v>
      </c>
      <c r="M50" s="487"/>
      <c r="N50" s="478">
        <f t="shared" si="27"/>
        <v>0</v>
      </c>
      <c r="O50" s="478">
        <f t="shared" si="28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1099446.3935260549</v>
      </c>
      <c r="E51" s="484">
        <f>IF(+I14&lt;F50,I14,D51)</f>
        <v>111640.38095238095</v>
      </c>
      <c r="F51" s="485">
        <f t="shared" si="24"/>
        <v>987806.01257367397</v>
      </c>
      <c r="G51" s="486">
        <f t="shared" si="22"/>
        <v>224155.02206027877</v>
      </c>
      <c r="H51" s="455">
        <f t="shared" si="23"/>
        <v>224155.02206027877</v>
      </c>
      <c r="I51" s="475">
        <f t="shared" si="25"/>
        <v>0</v>
      </c>
      <c r="J51" s="475"/>
      <c r="K51" s="487"/>
      <c r="L51" s="478">
        <f t="shared" si="26"/>
        <v>0</v>
      </c>
      <c r="M51" s="487"/>
      <c r="N51" s="478">
        <f t="shared" si="27"/>
        <v>0</v>
      </c>
      <c r="O51" s="478">
        <f t="shared" si="28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987806.01257367397</v>
      </c>
      <c r="E52" s="484">
        <f>IF(+I14&lt;F51,I14,D52)</f>
        <v>111640.38095238095</v>
      </c>
      <c r="F52" s="485">
        <f t="shared" si="24"/>
        <v>876165.63162129303</v>
      </c>
      <c r="G52" s="486">
        <f t="shared" si="22"/>
        <v>212118.93350740641</v>
      </c>
      <c r="H52" s="455">
        <f t="shared" si="23"/>
        <v>212118.93350740641</v>
      </c>
      <c r="I52" s="475">
        <f t="shared" si="25"/>
        <v>0</v>
      </c>
      <c r="J52" s="475"/>
      <c r="K52" s="487"/>
      <c r="L52" s="478">
        <f t="shared" si="26"/>
        <v>0</v>
      </c>
      <c r="M52" s="487"/>
      <c r="N52" s="478">
        <f t="shared" si="27"/>
        <v>0</v>
      </c>
      <c r="O52" s="478">
        <f t="shared" si="28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876165.63162129303</v>
      </c>
      <c r="E53" s="484">
        <f>IF(+I14&lt;F52,I14,D53)</f>
        <v>111640.38095238095</v>
      </c>
      <c r="F53" s="485">
        <f t="shared" si="24"/>
        <v>764525.25066891208</v>
      </c>
      <c r="G53" s="486">
        <f t="shared" si="22"/>
        <v>200082.84495453403</v>
      </c>
      <c r="H53" s="455">
        <f t="shared" si="23"/>
        <v>200082.84495453403</v>
      </c>
      <c r="I53" s="475">
        <f t="shared" si="25"/>
        <v>0</v>
      </c>
      <c r="J53" s="475"/>
      <c r="K53" s="487"/>
      <c r="L53" s="478">
        <f t="shared" si="26"/>
        <v>0</v>
      </c>
      <c r="M53" s="487"/>
      <c r="N53" s="478">
        <f t="shared" si="27"/>
        <v>0</v>
      </c>
      <c r="O53" s="478">
        <f t="shared" si="28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764525.25066891208</v>
      </c>
      <c r="E54" s="484">
        <f>IF(+I14&lt;F53,I14,D54)</f>
        <v>111640.38095238095</v>
      </c>
      <c r="F54" s="485">
        <f t="shared" si="24"/>
        <v>652884.86971653113</v>
      </c>
      <c r="G54" s="486">
        <f t="shared" si="22"/>
        <v>188046.75640166167</v>
      </c>
      <c r="H54" s="455">
        <f t="shared" si="23"/>
        <v>188046.75640166167</v>
      </c>
      <c r="I54" s="475">
        <f t="shared" si="25"/>
        <v>0</v>
      </c>
      <c r="J54" s="475"/>
      <c r="K54" s="487"/>
      <c r="L54" s="478">
        <f t="shared" si="26"/>
        <v>0</v>
      </c>
      <c r="M54" s="487"/>
      <c r="N54" s="478">
        <f t="shared" si="27"/>
        <v>0</v>
      </c>
      <c r="O54" s="478">
        <f t="shared" si="28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652884.86971653113</v>
      </c>
      <c r="E55" s="484">
        <f>IF(+I14&lt;F54,I14,D55)</f>
        <v>111640.38095238095</v>
      </c>
      <c r="F55" s="485">
        <f t="shared" si="24"/>
        <v>541244.48876415018</v>
      </c>
      <c r="G55" s="486">
        <f t="shared" si="22"/>
        <v>176010.66784878928</v>
      </c>
      <c r="H55" s="455">
        <f t="shared" si="23"/>
        <v>176010.66784878928</v>
      </c>
      <c r="I55" s="475">
        <f t="shared" si="25"/>
        <v>0</v>
      </c>
      <c r="J55" s="475"/>
      <c r="K55" s="487"/>
      <c r="L55" s="478">
        <f t="shared" si="26"/>
        <v>0</v>
      </c>
      <c r="M55" s="487"/>
      <c r="N55" s="478">
        <f t="shared" si="27"/>
        <v>0</v>
      </c>
      <c r="O55" s="478">
        <f t="shared" si="28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541244.48876415018</v>
      </c>
      <c r="E56" s="484">
        <f>IF(+I14&lt;F55,I14,D56)</f>
        <v>111640.38095238095</v>
      </c>
      <c r="F56" s="485">
        <f t="shared" si="24"/>
        <v>429604.10781176924</v>
      </c>
      <c r="G56" s="486">
        <f t="shared" si="22"/>
        <v>163974.57929591689</v>
      </c>
      <c r="H56" s="455">
        <f t="shared" si="23"/>
        <v>163974.57929591689</v>
      </c>
      <c r="I56" s="475">
        <f t="shared" si="25"/>
        <v>0</v>
      </c>
      <c r="J56" s="475"/>
      <c r="K56" s="487"/>
      <c r="L56" s="478">
        <f t="shared" si="26"/>
        <v>0</v>
      </c>
      <c r="M56" s="487"/>
      <c r="N56" s="478">
        <f t="shared" si="27"/>
        <v>0</v>
      </c>
      <c r="O56" s="478">
        <f t="shared" si="28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429604.10781176924</v>
      </c>
      <c r="E57" s="484">
        <f>IF(+I14&lt;F56,I14,D57)</f>
        <v>111640.38095238095</v>
      </c>
      <c r="F57" s="485">
        <f t="shared" si="24"/>
        <v>317963.72685938829</v>
      </c>
      <c r="G57" s="486">
        <f t="shared" si="22"/>
        <v>151938.49074304453</v>
      </c>
      <c r="H57" s="455">
        <f t="shared" si="23"/>
        <v>151938.49074304453</v>
      </c>
      <c r="I57" s="475">
        <f t="shared" si="25"/>
        <v>0</v>
      </c>
      <c r="J57" s="475"/>
      <c r="K57" s="487"/>
      <c r="L57" s="478">
        <f t="shared" si="26"/>
        <v>0</v>
      </c>
      <c r="M57" s="487"/>
      <c r="N57" s="478">
        <f t="shared" si="27"/>
        <v>0</v>
      </c>
      <c r="O57" s="478">
        <f t="shared" si="28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317963.72685938829</v>
      </c>
      <c r="E58" s="484">
        <f>IF(+I14&lt;F57,I14,D58)</f>
        <v>111640.38095238095</v>
      </c>
      <c r="F58" s="485">
        <f t="shared" si="24"/>
        <v>206323.34590700734</v>
      </c>
      <c r="G58" s="486">
        <f t="shared" si="22"/>
        <v>139902.40219017214</v>
      </c>
      <c r="H58" s="455">
        <f t="shared" si="23"/>
        <v>139902.40219017214</v>
      </c>
      <c r="I58" s="475">
        <f t="shared" si="25"/>
        <v>0</v>
      </c>
      <c r="J58" s="475"/>
      <c r="K58" s="487"/>
      <c r="L58" s="478">
        <f t="shared" si="26"/>
        <v>0</v>
      </c>
      <c r="M58" s="487"/>
      <c r="N58" s="478">
        <f t="shared" si="27"/>
        <v>0</v>
      </c>
      <c r="O58" s="478">
        <f t="shared" si="28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206323.34590700734</v>
      </c>
      <c r="E59" s="484">
        <f>IF(+I14&lt;F58,I14,D59)</f>
        <v>111640.38095238095</v>
      </c>
      <c r="F59" s="485">
        <f t="shared" si="24"/>
        <v>94682.964954626397</v>
      </c>
      <c r="G59" s="486">
        <f t="shared" si="22"/>
        <v>127866.31363729977</v>
      </c>
      <c r="H59" s="455">
        <f t="shared" si="23"/>
        <v>127866.31363729977</v>
      </c>
      <c r="I59" s="475">
        <f t="shared" si="25"/>
        <v>0</v>
      </c>
      <c r="J59" s="475"/>
      <c r="K59" s="487"/>
      <c r="L59" s="478">
        <f t="shared" si="26"/>
        <v>0</v>
      </c>
      <c r="M59" s="487"/>
      <c r="N59" s="478">
        <f t="shared" si="27"/>
        <v>0</v>
      </c>
      <c r="O59" s="478">
        <f t="shared" si="28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94682.964954626397</v>
      </c>
      <c r="E60" s="484">
        <f>IF(+I14&lt;F59,I14,D60)</f>
        <v>94682.964954626397</v>
      </c>
      <c r="F60" s="485">
        <f t="shared" si="24"/>
        <v>0</v>
      </c>
      <c r="G60" s="486">
        <f t="shared" si="22"/>
        <v>99786.909158867711</v>
      </c>
      <c r="H60" s="455">
        <f t="shared" si="23"/>
        <v>99786.909158867711</v>
      </c>
      <c r="I60" s="475">
        <f t="shared" si="25"/>
        <v>0</v>
      </c>
      <c r="J60" s="475"/>
      <c r="K60" s="487"/>
      <c r="L60" s="478">
        <f t="shared" si="26"/>
        <v>0</v>
      </c>
      <c r="M60" s="487"/>
      <c r="N60" s="478">
        <f t="shared" si="27"/>
        <v>0</v>
      </c>
      <c r="O60" s="478">
        <f t="shared" si="28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4"/>
        <v>0</v>
      </c>
      <c r="G61" s="486">
        <f t="shared" si="22"/>
        <v>0</v>
      </c>
      <c r="H61" s="455">
        <f t="shared" si="23"/>
        <v>0</v>
      </c>
      <c r="I61" s="475">
        <f t="shared" si="25"/>
        <v>0</v>
      </c>
      <c r="J61" s="475"/>
      <c r="K61" s="487"/>
      <c r="L61" s="478">
        <f t="shared" si="26"/>
        <v>0</v>
      </c>
      <c r="M61" s="487"/>
      <c r="N61" s="478">
        <f t="shared" si="27"/>
        <v>0</v>
      </c>
      <c r="O61" s="478">
        <f t="shared" si="28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4"/>
        <v>0</v>
      </c>
      <c r="G62" s="486">
        <f t="shared" si="22"/>
        <v>0</v>
      </c>
      <c r="H62" s="455">
        <f t="shared" si="23"/>
        <v>0</v>
      </c>
      <c r="I62" s="475">
        <f t="shared" si="25"/>
        <v>0</v>
      </c>
      <c r="J62" s="475"/>
      <c r="K62" s="487"/>
      <c r="L62" s="478">
        <f t="shared" si="26"/>
        <v>0</v>
      </c>
      <c r="M62" s="487"/>
      <c r="N62" s="478">
        <f t="shared" si="27"/>
        <v>0</v>
      </c>
      <c r="O62" s="478">
        <f t="shared" si="28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4"/>
        <v>0</v>
      </c>
      <c r="G63" s="486">
        <f t="shared" si="22"/>
        <v>0</v>
      </c>
      <c r="H63" s="455">
        <f t="shared" si="23"/>
        <v>0</v>
      </c>
      <c r="I63" s="475">
        <f t="shared" si="25"/>
        <v>0</v>
      </c>
      <c r="J63" s="475"/>
      <c r="K63" s="487"/>
      <c r="L63" s="478">
        <f t="shared" si="26"/>
        <v>0</v>
      </c>
      <c r="M63" s="487"/>
      <c r="N63" s="478">
        <f t="shared" si="27"/>
        <v>0</v>
      </c>
      <c r="O63" s="478">
        <f t="shared" si="28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4"/>
        <v>0</v>
      </c>
      <c r="G64" s="486">
        <f t="shared" si="22"/>
        <v>0</v>
      </c>
      <c r="H64" s="455">
        <f t="shared" si="23"/>
        <v>0</v>
      </c>
      <c r="I64" s="475">
        <f t="shared" si="25"/>
        <v>0</v>
      </c>
      <c r="J64" s="475"/>
      <c r="K64" s="487"/>
      <c r="L64" s="478">
        <f t="shared" si="26"/>
        <v>0</v>
      </c>
      <c r="M64" s="487"/>
      <c r="N64" s="478">
        <f t="shared" si="27"/>
        <v>0</v>
      </c>
      <c r="O64" s="478">
        <f t="shared" si="28"/>
        <v>0</v>
      </c>
      <c r="P64" s="243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4"/>
        <v>0</v>
      </c>
      <c r="G65" s="486">
        <f t="shared" si="22"/>
        <v>0</v>
      </c>
      <c r="H65" s="455">
        <f t="shared" si="23"/>
        <v>0</v>
      </c>
      <c r="I65" s="475">
        <f t="shared" si="25"/>
        <v>0</v>
      </c>
      <c r="J65" s="475"/>
      <c r="K65" s="487"/>
      <c r="L65" s="478">
        <f t="shared" si="26"/>
        <v>0</v>
      </c>
      <c r="M65" s="487"/>
      <c r="N65" s="478">
        <f t="shared" si="27"/>
        <v>0</v>
      </c>
      <c r="O65" s="478">
        <f t="shared" si="28"/>
        <v>0</v>
      </c>
      <c r="P65" s="243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4"/>
        <v>0</v>
      </c>
      <c r="G66" s="486">
        <f t="shared" si="22"/>
        <v>0</v>
      </c>
      <c r="H66" s="455">
        <f t="shared" si="23"/>
        <v>0</v>
      </c>
      <c r="I66" s="475">
        <f t="shared" si="25"/>
        <v>0</v>
      </c>
      <c r="J66" s="475"/>
      <c r="K66" s="487"/>
      <c r="L66" s="478">
        <f t="shared" si="26"/>
        <v>0</v>
      </c>
      <c r="M66" s="487"/>
      <c r="N66" s="478">
        <f t="shared" si="27"/>
        <v>0</v>
      </c>
      <c r="O66" s="478">
        <f t="shared" si="28"/>
        <v>0</v>
      </c>
      <c r="P66" s="243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4"/>
        <v>0</v>
      </c>
      <c r="G67" s="486">
        <f t="shared" si="22"/>
        <v>0</v>
      </c>
      <c r="H67" s="455">
        <f t="shared" si="23"/>
        <v>0</v>
      </c>
      <c r="I67" s="475">
        <f t="shared" si="25"/>
        <v>0</v>
      </c>
      <c r="J67" s="475"/>
      <c r="K67" s="487"/>
      <c r="L67" s="478">
        <f t="shared" si="26"/>
        <v>0</v>
      </c>
      <c r="M67" s="487"/>
      <c r="N67" s="478">
        <f t="shared" si="27"/>
        <v>0</v>
      </c>
      <c r="O67" s="478">
        <f t="shared" si="28"/>
        <v>0</v>
      </c>
      <c r="P67" s="243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4"/>
        <v>0</v>
      </c>
      <c r="G68" s="486">
        <f t="shared" si="22"/>
        <v>0</v>
      </c>
      <c r="H68" s="455">
        <f t="shared" si="23"/>
        <v>0</v>
      </c>
      <c r="I68" s="475">
        <f t="shared" si="25"/>
        <v>0</v>
      </c>
      <c r="J68" s="475"/>
      <c r="K68" s="487"/>
      <c r="L68" s="478">
        <f t="shared" si="26"/>
        <v>0</v>
      </c>
      <c r="M68" s="487"/>
      <c r="N68" s="478">
        <f t="shared" si="27"/>
        <v>0</v>
      </c>
      <c r="O68" s="478">
        <f t="shared" si="28"/>
        <v>0</v>
      </c>
      <c r="P68" s="243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4"/>
        <v>0</v>
      </c>
      <c r="G69" s="486">
        <f t="shared" si="22"/>
        <v>0</v>
      </c>
      <c r="H69" s="455">
        <f t="shared" si="23"/>
        <v>0</v>
      </c>
      <c r="I69" s="475">
        <f t="shared" si="25"/>
        <v>0</v>
      </c>
      <c r="J69" s="475"/>
      <c r="K69" s="487"/>
      <c r="L69" s="478">
        <f t="shared" si="26"/>
        <v>0</v>
      </c>
      <c r="M69" s="487"/>
      <c r="N69" s="478">
        <f t="shared" si="27"/>
        <v>0</v>
      </c>
      <c r="O69" s="478">
        <f t="shared" si="28"/>
        <v>0</v>
      </c>
      <c r="P69" s="243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4"/>
        <v>0</v>
      </c>
      <c r="G70" s="486">
        <f t="shared" si="22"/>
        <v>0</v>
      </c>
      <c r="H70" s="455">
        <f t="shared" si="23"/>
        <v>0</v>
      </c>
      <c r="I70" s="475">
        <f t="shared" si="25"/>
        <v>0</v>
      </c>
      <c r="J70" s="475"/>
      <c r="K70" s="487"/>
      <c r="L70" s="478">
        <f t="shared" si="26"/>
        <v>0</v>
      </c>
      <c r="M70" s="487"/>
      <c r="N70" s="478">
        <f t="shared" si="27"/>
        <v>0</v>
      </c>
      <c r="O70" s="478">
        <f t="shared" si="28"/>
        <v>0</v>
      </c>
      <c r="P70" s="243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4"/>
        <v>0</v>
      </c>
      <c r="G71" s="486">
        <f t="shared" si="22"/>
        <v>0</v>
      </c>
      <c r="H71" s="455">
        <f t="shared" si="23"/>
        <v>0</v>
      </c>
      <c r="I71" s="475">
        <f t="shared" si="25"/>
        <v>0</v>
      </c>
      <c r="J71" s="475"/>
      <c r="K71" s="487"/>
      <c r="L71" s="478">
        <f t="shared" si="26"/>
        <v>0</v>
      </c>
      <c r="M71" s="487"/>
      <c r="N71" s="478">
        <f t="shared" si="27"/>
        <v>0</v>
      </c>
      <c r="O71" s="478">
        <f t="shared" si="28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4"/>
        <v>0</v>
      </c>
      <c r="G72" s="490">
        <f t="shared" si="22"/>
        <v>0</v>
      </c>
      <c r="H72" s="490">
        <f t="shared" si="23"/>
        <v>0</v>
      </c>
      <c r="I72" s="493">
        <f t="shared" si="25"/>
        <v>0</v>
      </c>
      <c r="J72" s="475"/>
      <c r="K72" s="494"/>
      <c r="L72" s="495">
        <f t="shared" si="26"/>
        <v>0</v>
      </c>
      <c r="M72" s="494"/>
      <c r="N72" s="495">
        <f t="shared" si="27"/>
        <v>0</v>
      </c>
      <c r="O72" s="495">
        <f t="shared" si="28"/>
        <v>0</v>
      </c>
      <c r="P72" s="243"/>
    </row>
    <row r="73" spans="2:16">
      <c r="C73" s="347" t="s">
        <v>77</v>
      </c>
      <c r="D73" s="348"/>
      <c r="E73" s="348">
        <f>SUM(E17:E72)</f>
        <v>4688896</v>
      </c>
      <c r="F73" s="348"/>
      <c r="G73" s="348">
        <f>SUM(G17:G72)</f>
        <v>17446060.762406681</v>
      </c>
      <c r="H73" s="348">
        <f>SUM(H17:H72)</f>
        <v>17446060.762406681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2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470894.83739416272</v>
      </c>
      <c r="N87" s="508">
        <f>IF(J92&lt;D11,0,VLOOKUP(J92,C17:O72,11))</f>
        <v>470894.83739416272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493315.82816244458</v>
      </c>
      <c r="N88" s="512">
        <f>IF(J92&lt;D11,0,VLOOKUP(J92,C99:P154,7))</f>
        <v>493315.82816244458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Craig Jct. to Broken Bow Dam 138 Rebuild (7.7mi)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22420.990768281859</v>
      </c>
      <c r="N89" s="517">
        <f>+N88-N87</f>
        <v>22420.990768281859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TP2007059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4688896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120228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49223</v>
      </c>
      <c r="F99" s="479">
        <v>4676168</v>
      </c>
      <c r="G99" s="537">
        <v>2338084</v>
      </c>
      <c r="H99" s="538">
        <v>391070</v>
      </c>
      <c r="I99" s="539">
        <v>391070</v>
      </c>
      <c r="J99" s="478">
        <f t="shared" ref="J99:J130" si="29">+I99-H99</f>
        <v>0</v>
      </c>
      <c r="K99" s="478"/>
      <c r="L99" s="476">
        <f t="shared" ref="L99:L104" si="30">H99</f>
        <v>391070</v>
      </c>
      <c r="M99" s="477">
        <f t="shared" ref="M99:M130" si="31">IF(L99&lt;&gt;0,+H99-L99,0)</f>
        <v>0</v>
      </c>
      <c r="N99" s="476">
        <f t="shared" ref="N99:N104" si="32">I99</f>
        <v>391070</v>
      </c>
      <c r="O99" s="477">
        <f t="shared" ref="O99:O130" si="33">IF(N99&lt;&gt;0,+I99-N99,0)</f>
        <v>0</v>
      </c>
      <c r="P99" s="477">
        <f t="shared" ref="P99:P130" si="34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4639673.1399999997</v>
      </c>
      <c r="E100" s="480">
        <v>91939</v>
      </c>
      <c r="F100" s="479">
        <v>4547734.1399999997</v>
      </c>
      <c r="G100" s="479">
        <v>4593703.6399999997</v>
      </c>
      <c r="H100" s="480">
        <v>830676.46951907186</v>
      </c>
      <c r="I100" s="481">
        <v>830676.46951907186</v>
      </c>
      <c r="J100" s="478">
        <f t="shared" si="29"/>
        <v>0</v>
      </c>
      <c r="K100" s="478"/>
      <c r="L100" s="540">
        <f t="shared" si="30"/>
        <v>830676.46951907186</v>
      </c>
      <c r="M100" s="541">
        <f t="shared" si="31"/>
        <v>0</v>
      </c>
      <c r="N100" s="540">
        <f t="shared" si="32"/>
        <v>830676.46951907186</v>
      </c>
      <c r="O100" s="478">
        <f t="shared" si="33"/>
        <v>0</v>
      </c>
      <c r="P100" s="478">
        <f t="shared" si="34"/>
        <v>0</v>
      </c>
    </row>
    <row r="101" spans="1:16">
      <c r="B101" s="160" t="str">
        <f t="shared" ref="B101:B154" si="35">IF(D101=F100,"","IU")</f>
        <v/>
      </c>
      <c r="C101" s="482">
        <f>IF(D93="","-",+C100+1)</f>
        <v>2011</v>
      </c>
      <c r="D101" s="473">
        <v>4547734.1399999997</v>
      </c>
      <c r="E101" s="480">
        <v>90171</v>
      </c>
      <c r="F101" s="479">
        <v>4457563.1399999997</v>
      </c>
      <c r="G101" s="479">
        <v>4502648.6399999997</v>
      </c>
      <c r="H101" s="480">
        <v>719701.78616364778</v>
      </c>
      <c r="I101" s="481">
        <v>719701.78616364778</v>
      </c>
      <c r="J101" s="478">
        <f t="shared" si="29"/>
        <v>0</v>
      </c>
      <c r="K101" s="478"/>
      <c r="L101" s="540">
        <f t="shared" si="30"/>
        <v>719701.78616364778</v>
      </c>
      <c r="M101" s="541">
        <f t="shared" si="31"/>
        <v>0</v>
      </c>
      <c r="N101" s="540">
        <f t="shared" si="32"/>
        <v>719701.78616364778</v>
      </c>
      <c r="O101" s="478">
        <f t="shared" si="33"/>
        <v>0</v>
      </c>
      <c r="P101" s="478">
        <f t="shared" si="34"/>
        <v>0</v>
      </c>
    </row>
    <row r="102" spans="1:16">
      <c r="B102" s="160" t="str">
        <f t="shared" si="35"/>
        <v/>
      </c>
      <c r="C102" s="472">
        <f>IF(D93="","-",+C101+1)</f>
        <v>2012</v>
      </c>
      <c r="D102" s="473">
        <v>4457563.1399999997</v>
      </c>
      <c r="E102" s="480">
        <v>90171</v>
      </c>
      <c r="F102" s="479">
        <v>4367392.1399999997</v>
      </c>
      <c r="G102" s="479">
        <v>4412477.6399999997</v>
      </c>
      <c r="H102" s="480">
        <v>724930.09682284109</v>
      </c>
      <c r="I102" s="481">
        <v>724930.09682284109</v>
      </c>
      <c r="J102" s="478">
        <v>0</v>
      </c>
      <c r="K102" s="478"/>
      <c r="L102" s="540">
        <f t="shared" si="30"/>
        <v>724930.09682284109</v>
      </c>
      <c r="M102" s="541">
        <f t="shared" ref="M102:M107" si="36">IF(L102&lt;&gt;0,+H102-L102,0)</f>
        <v>0</v>
      </c>
      <c r="N102" s="540">
        <f t="shared" si="32"/>
        <v>724930.09682284109</v>
      </c>
      <c r="O102" s="478">
        <f>IF(N102&lt;&gt;0,+I102-N102,0)</f>
        <v>0</v>
      </c>
      <c r="P102" s="478">
        <f>+O102-M102</f>
        <v>0</v>
      </c>
    </row>
    <row r="103" spans="1:16">
      <c r="B103" s="160" t="str">
        <f t="shared" si="35"/>
        <v/>
      </c>
      <c r="C103" s="472">
        <f>IF(D93="","-",+C102+1)</f>
        <v>2013</v>
      </c>
      <c r="D103" s="473">
        <v>4367392.1399999997</v>
      </c>
      <c r="E103" s="480">
        <v>90171</v>
      </c>
      <c r="F103" s="479">
        <v>4277221.1399999997</v>
      </c>
      <c r="G103" s="479">
        <v>4322306.6399999997</v>
      </c>
      <c r="H103" s="480">
        <v>712322.06264393788</v>
      </c>
      <c r="I103" s="481">
        <v>712322.06264393788</v>
      </c>
      <c r="J103" s="478">
        <v>0</v>
      </c>
      <c r="K103" s="478"/>
      <c r="L103" s="540">
        <f t="shared" si="30"/>
        <v>712322.06264393788</v>
      </c>
      <c r="M103" s="541">
        <f t="shared" si="36"/>
        <v>0</v>
      </c>
      <c r="N103" s="540">
        <f t="shared" si="32"/>
        <v>712322.06264393788</v>
      </c>
      <c r="O103" s="478">
        <f>IF(N103&lt;&gt;0,+I103-N103,0)</f>
        <v>0</v>
      </c>
      <c r="P103" s="478">
        <f>+O103-M103</f>
        <v>0</v>
      </c>
    </row>
    <row r="104" spans="1:16">
      <c r="B104" s="160" t="str">
        <f t="shared" si="35"/>
        <v/>
      </c>
      <c r="C104" s="472">
        <f>IF(D93="","-",+C103+1)</f>
        <v>2014</v>
      </c>
      <c r="D104" s="473">
        <v>4277221.1399999997</v>
      </c>
      <c r="E104" s="480">
        <v>90171</v>
      </c>
      <c r="F104" s="479">
        <v>4187050.1399999997</v>
      </c>
      <c r="G104" s="479">
        <v>4232135.6399999997</v>
      </c>
      <c r="H104" s="480">
        <v>685191.9710405051</v>
      </c>
      <c r="I104" s="481">
        <v>685191.9710405051</v>
      </c>
      <c r="J104" s="478">
        <v>0</v>
      </c>
      <c r="K104" s="478"/>
      <c r="L104" s="540">
        <f t="shared" si="30"/>
        <v>685191.9710405051</v>
      </c>
      <c r="M104" s="541">
        <f t="shared" si="36"/>
        <v>0</v>
      </c>
      <c r="N104" s="540">
        <f t="shared" si="32"/>
        <v>685191.9710405051</v>
      </c>
      <c r="O104" s="478">
        <f>IF(N104&lt;&gt;0,+I104-N104,0)</f>
        <v>0</v>
      </c>
      <c r="P104" s="478">
        <f>+O104-M104</f>
        <v>0</v>
      </c>
    </row>
    <row r="105" spans="1:16">
      <c r="B105" s="160" t="str">
        <f t="shared" si="35"/>
        <v/>
      </c>
      <c r="C105" s="472">
        <f>IF(D93="","-",+C104+1)</f>
        <v>2015</v>
      </c>
      <c r="D105" s="473">
        <v>4187050.1399999997</v>
      </c>
      <c r="E105" s="480">
        <v>90171</v>
      </c>
      <c r="F105" s="479">
        <v>4096879.1399999997</v>
      </c>
      <c r="G105" s="479">
        <v>4141964.6399999997</v>
      </c>
      <c r="H105" s="480">
        <v>655308.7720911433</v>
      </c>
      <c r="I105" s="481">
        <v>655308.7720911433</v>
      </c>
      <c r="J105" s="478">
        <f t="shared" si="29"/>
        <v>0</v>
      </c>
      <c r="K105" s="478"/>
      <c r="L105" s="540">
        <f t="shared" ref="L105:L110" si="37">H105</f>
        <v>655308.7720911433</v>
      </c>
      <c r="M105" s="541">
        <f t="shared" si="36"/>
        <v>0</v>
      </c>
      <c r="N105" s="540">
        <f t="shared" ref="N105:N110" si="38">I105</f>
        <v>655308.7720911433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5"/>
        <v/>
      </c>
      <c r="C106" s="472">
        <f>IF(D93="","-",+C105+1)</f>
        <v>2016</v>
      </c>
      <c r="D106" s="473">
        <v>4096879.1399999997</v>
      </c>
      <c r="E106" s="480">
        <v>101933</v>
      </c>
      <c r="F106" s="479">
        <v>3994946.1399999997</v>
      </c>
      <c r="G106" s="479">
        <v>4045912.6399999997</v>
      </c>
      <c r="H106" s="480">
        <v>623514.8578657991</v>
      </c>
      <c r="I106" s="481">
        <v>623514.8578657991</v>
      </c>
      <c r="J106" s="478">
        <f t="shared" si="29"/>
        <v>0</v>
      </c>
      <c r="K106" s="478"/>
      <c r="L106" s="540">
        <f t="shared" si="37"/>
        <v>623514.8578657991</v>
      </c>
      <c r="M106" s="541">
        <f t="shared" si="36"/>
        <v>0</v>
      </c>
      <c r="N106" s="540">
        <f t="shared" si="38"/>
        <v>623514.8578657991</v>
      </c>
      <c r="O106" s="478">
        <f>IF(N106&lt;&gt;0,+I106-N106,0)</f>
        <v>0</v>
      </c>
      <c r="P106" s="478">
        <f>+O106-M106</f>
        <v>0</v>
      </c>
    </row>
    <row r="107" spans="1:16">
      <c r="B107" s="160" t="str">
        <f t="shared" si="35"/>
        <v/>
      </c>
      <c r="C107" s="472">
        <f>IF(D93="","-",+C106+1)</f>
        <v>2017</v>
      </c>
      <c r="D107" s="473">
        <v>3994946.1399999997</v>
      </c>
      <c r="E107" s="480">
        <v>101933</v>
      </c>
      <c r="F107" s="479">
        <v>3893013.1399999997</v>
      </c>
      <c r="G107" s="479">
        <v>3943979.6399999997</v>
      </c>
      <c r="H107" s="480">
        <v>602236.76208219538</v>
      </c>
      <c r="I107" s="481">
        <v>602236.76208219538</v>
      </c>
      <c r="J107" s="478">
        <f t="shared" si="29"/>
        <v>0</v>
      </c>
      <c r="K107" s="478"/>
      <c r="L107" s="540">
        <f t="shared" si="37"/>
        <v>602236.76208219538</v>
      </c>
      <c r="M107" s="541">
        <f t="shared" si="36"/>
        <v>0</v>
      </c>
      <c r="N107" s="540">
        <f t="shared" si="38"/>
        <v>602236.76208219538</v>
      </c>
      <c r="O107" s="478">
        <f>IF(N107&lt;&gt;0,+I107-N107,0)</f>
        <v>0</v>
      </c>
      <c r="P107" s="478">
        <f>+O107-M107</f>
        <v>0</v>
      </c>
    </row>
    <row r="108" spans="1:16">
      <c r="B108" s="160" t="str">
        <f t="shared" si="35"/>
        <v/>
      </c>
      <c r="C108" s="472">
        <f>IF(D93="","-",+C107+1)</f>
        <v>2018</v>
      </c>
      <c r="D108" s="473">
        <v>3893013.1399999997</v>
      </c>
      <c r="E108" s="480">
        <v>109044</v>
      </c>
      <c r="F108" s="479">
        <v>3783969.1399999997</v>
      </c>
      <c r="G108" s="479">
        <v>3838491.1399999997</v>
      </c>
      <c r="H108" s="480">
        <v>503393.56302800257</v>
      </c>
      <c r="I108" s="481">
        <v>503393.56302800257</v>
      </c>
      <c r="J108" s="478">
        <f t="shared" si="29"/>
        <v>0</v>
      </c>
      <c r="K108" s="478"/>
      <c r="L108" s="540">
        <f t="shared" si="37"/>
        <v>503393.56302800257</v>
      </c>
      <c r="M108" s="541">
        <f t="shared" ref="M108" si="39">IF(L108&lt;&gt;0,+H108-L108,0)</f>
        <v>0</v>
      </c>
      <c r="N108" s="540">
        <f t="shared" si="38"/>
        <v>503393.56302800257</v>
      </c>
      <c r="O108" s="478">
        <f>IF(N108&lt;&gt;0,+I108-N108,0)</f>
        <v>0</v>
      </c>
      <c r="P108" s="478">
        <f>+O108-M108</f>
        <v>0</v>
      </c>
    </row>
    <row r="109" spans="1:16">
      <c r="B109" s="160" t="str">
        <f t="shared" si="35"/>
        <v/>
      </c>
      <c r="C109" s="472">
        <f>IF(D93="","-",+C108+1)</f>
        <v>2019</v>
      </c>
      <c r="D109" s="473">
        <v>3783969.1399999997</v>
      </c>
      <c r="E109" s="480">
        <v>114363</v>
      </c>
      <c r="F109" s="479">
        <v>3669606.1399999997</v>
      </c>
      <c r="G109" s="479">
        <v>3726787.6399999997</v>
      </c>
      <c r="H109" s="480">
        <v>498647.07790793071</v>
      </c>
      <c r="I109" s="481">
        <v>498647.07790793071</v>
      </c>
      <c r="J109" s="478">
        <f t="shared" si="29"/>
        <v>0</v>
      </c>
      <c r="K109" s="478"/>
      <c r="L109" s="540">
        <f t="shared" si="37"/>
        <v>498647.07790793071</v>
      </c>
      <c r="M109" s="541">
        <f t="shared" ref="M109" si="40">IF(L109&lt;&gt;0,+H109-L109,0)</f>
        <v>0</v>
      </c>
      <c r="N109" s="540">
        <f t="shared" si="38"/>
        <v>498647.07790793071</v>
      </c>
      <c r="O109" s="478">
        <f t="shared" si="33"/>
        <v>0</v>
      </c>
      <c r="P109" s="478">
        <f t="shared" si="34"/>
        <v>0</v>
      </c>
    </row>
    <row r="110" spans="1:16">
      <c r="B110" s="160" t="str">
        <f t="shared" si="35"/>
        <v/>
      </c>
      <c r="C110" s="472">
        <f>IF(D93="","-",+C109+1)</f>
        <v>2020</v>
      </c>
      <c r="D110" s="473">
        <v>3669606.1399999997</v>
      </c>
      <c r="E110" s="480">
        <v>109044</v>
      </c>
      <c r="F110" s="479">
        <v>3560562.1399999997</v>
      </c>
      <c r="G110" s="479">
        <v>3615084.1399999997</v>
      </c>
      <c r="H110" s="480">
        <v>525853.2624876654</v>
      </c>
      <c r="I110" s="481">
        <v>525853.2624876654</v>
      </c>
      <c r="J110" s="478">
        <f t="shared" si="29"/>
        <v>0</v>
      </c>
      <c r="K110" s="478"/>
      <c r="L110" s="540">
        <f t="shared" si="37"/>
        <v>525853.2624876654</v>
      </c>
      <c r="M110" s="541">
        <f t="shared" ref="M110" si="41">IF(L110&lt;&gt;0,+H110-L110,0)</f>
        <v>0</v>
      </c>
      <c r="N110" s="540">
        <f t="shared" si="38"/>
        <v>525853.2624876654</v>
      </c>
      <c r="O110" s="478">
        <f t="shared" si="33"/>
        <v>0</v>
      </c>
      <c r="P110" s="478">
        <f t="shared" si="34"/>
        <v>0</v>
      </c>
    </row>
    <row r="111" spans="1:16">
      <c r="B111" s="160" t="str">
        <f t="shared" si="35"/>
        <v/>
      </c>
      <c r="C111" s="472">
        <f>IF(D93="","-",+C110+1)</f>
        <v>2021</v>
      </c>
      <c r="D111" s="473">
        <v>3560562.1399999997</v>
      </c>
      <c r="E111" s="480">
        <v>114363</v>
      </c>
      <c r="F111" s="479">
        <v>3446199.1399999997</v>
      </c>
      <c r="G111" s="479">
        <v>3503380.6399999997</v>
      </c>
      <c r="H111" s="480">
        <v>513022.46807795716</v>
      </c>
      <c r="I111" s="481">
        <v>513022.46807795716</v>
      </c>
      <c r="J111" s="478">
        <f t="shared" si="29"/>
        <v>0</v>
      </c>
      <c r="K111" s="478"/>
      <c r="L111" s="540">
        <f t="shared" ref="L111" si="42">H111</f>
        <v>513022.46807795716</v>
      </c>
      <c r="M111" s="541">
        <f t="shared" ref="M111" si="43">IF(L111&lt;&gt;0,+H111-L111,0)</f>
        <v>0</v>
      </c>
      <c r="N111" s="540">
        <f t="shared" ref="N111" si="44">I111</f>
        <v>513022.46807795716</v>
      </c>
      <c r="O111" s="478">
        <f t="shared" si="33"/>
        <v>0</v>
      </c>
      <c r="P111" s="478">
        <f t="shared" si="34"/>
        <v>0</v>
      </c>
    </row>
    <row r="112" spans="1:16">
      <c r="B112" s="160" t="str">
        <f t="shared" si="35"/>
        <v>IU</v>
      </c>
      <c r="C112" s="472">
        <f>IF(D93="","-",+C111+1)</f>
        <v>2022</v>
      </c>
      <c r="D112" s="347">
        <f>IF(F111+SUM(E$99:E111)=D$92,F111,D$92-SUM(E$99:E111))</f>
        <v>3446199</v>
      </c>
      <c r="E112" s="486">
        <f>IF(+J96&lt;F111,J96,D112)</f>
        <v>120228</v>
      </c>
      <c r="F112" s="485">
        <f t="shared" ref="F112:F130" si="45">+D112-E112</f>
        <v>3325971</v>
      </c>
      <c r="G112" s="485">
        <f t="shared" ref="G112:G130" si="46">+(F112+D112)/2</f>
        <v>3386085</v>
      </c>
      <c r="H112" s="486">
        <f t="shared" ref="H112:H154" si="47">(D112+F112)/2*J$94+E112</f>
        <v>493315.82816244458</v>
      </c>
      <c r="I112" s="542">
        <f t="shared" ref="I112:I154" si="48">+J$95*G112+E112</f>
        <v>493315.82816244458</v>
      </c>
      <c r="J112" s="478">
        <f t="shared" si="29"/>
        <v>0</v>
      </c>
      <c r="K112" s="478"/>
      <c r="L112" s="487"/>
      <c r="M112" s="478">
        <f t="shared" si="31"/>
        <v>0</v>
      </c>
      <c r="N112" s="487"/>
      <c r="O112" s="478">
        <f t="shared" si="33"/>
        <v>0</v>
      </c>
      <c r="P112" s="478">
        <f t="shared" si="34"/>
        <v>0</v>
      </c>
    </row>
    <row r="113" spans="2:16">
      <c r="B113" s="160" t="str">
        <f t="shared" si="35"/>
        <v/>
      </c>
      <c r="C113" s="472">
        <f>IF(D93="","-",+C112+1)</f>
        <v>2023</v>
      </c>
      <c r="D113" s="347">
        <f>IF(F112+SUM(E$99:E112)=D$92,F112,D$92-SUM(E$99:E112))</f>
        <v>3325971</v>
      </c>
      <c r="E113" s="486">
        <f>IF(+J96&lt;F112,J96,D113)</f>
        <v>120228</v>
      </c>
      <c r="F113" s="485">
        <f t="shared" si="45"/>
        <v>3205743</v>
      </c>
      <c r="G113" s="485">
        <f t="shared" si="46"/>
        <v>3265857</v>
      </c>
      <c r="H113" s="486">
        <f t="shared" si="47"/>
        <v>480068.78817251098</v>
      </c>
      <c r="I113" s="542">
        <f t="shared" si="48"/>
        <v>480068.78817251098</v>
      </c>
      <c r="J113" s="478">
        <f t="shared" si="29"/>
        <v>0</v>
      </c>
      <c r="K113" s="478"/>
      <c r="L113" s="487"/>
      <c r="M113" s="478">
        <f t="shared" si="31"/>
        <v>0</v>
      </c>
      <c r="N113" s="487"/>
      <c r="O113" s="478">
        <f t="shared" si="33"/>
        <v>0</v>
      </c>
      <c r="P113" s="478">
        <f t="shared" si="34"/>
        <v>0</v>
      </c>
    </row>
    <row r="114" spans="2:16">
      <c r="B114" s="160" t="str">
        <f t="shared" si="35"/>
        <v/>
      </c>
      <c r="C114" s="472">
        <f>IF(D93="","-",+C113+1)</f>
        <v>2024</v>
      </c>
      <c r="D114" s="347">
        <f>IF(F113+SUM(E$99:E113)=D$92,F113,D$92-SUM(E$99:E113))</f>
        <v>3205743</v>
      </c>
      <c r="E114" s="486">
        <f>IF(+J96&lt;F113,J96,D114)</f>
        <v>120228</v>
      </c>
      <c r="F114" s="485">
        <f t="shared" si="45"/>
        <v>3085515</v>
      </c>
      <c r="G114" s="485">
        <f t="shared" si="46"/>
        <v>3145629</v>
      </c>
      <c r="H114" s="486">
        <f t="shared" si="47"/>
        <v>466821.74818257737</v>
      </c>
      <c r="I114" s="542">
        <f t="shared" si="48"/>
        <v>466821.74818257737</v>
      </c>
      <c r="J114" s="478">
        <f t="shared" si="29"/>
        <v>0</v>
      </c>
      <c r="K114" s="478"/>
      <c r="L114" s="487"/>
      <c r="M114" s="478">
        <f t="shared" si="31"/>
        <v>0</v>
      </c>
      <c r="N114" s="487"/>
      <c r="O114" s="478">
        <f t="shared" si="33"/>
        <v>0</v>
      </c>
      <c r="P114" s="478">
        <f t="shared" si="34"/>
        <v>0</v>
      </c>
    </row>
    <row r="115" spans="2:16">
      <c r="B115" s="160" t="str">
        <f t="shared" si="35"/>
        <v/>
      </c>
      <c r="C115" s="472">
        <f>IF(D93="","-",+C114+1)</f>
        <v>2025</v>
      </c>
      <c r="D115" s="347">
        <f>IF(F114+SUM(E$99:E114)=D$92,F114,D$92-SUM(E$99:E114))</f>
        <v>3085515</v>
      </c>
      <c r="E115" s="486">
        <f>IF(+J96&lt;F114,J96,D115)</f>
        <v>120228</v>
      </c>
      <c r="F115" s="485">
        <f t="shared" si="45"/>
        <v>2965287</v>
      </c>
      <c r="G115" s="485">
        <f t="shared" si="46"/>
        <v>3025401</v>
      </c>
      <c r="H115" s="486">
        <f t="shared" si="47"/>
        <v>453574.70819264371</v>
      </c>
      <c r="I115" s="542">
        <f t="shared" si="48"/>
        <v>453574.70819264371</v>
      </c>
      <c r="J115" s="478">
        <f t="shared" si="29"/>
        <v>0</v>
      </c>
      <c r="K115" s="478"/>
      <c r="L115" s="487"/>
      <c r="M115" s="478">
        <f t="shared" si="31"/>
        <v>0</v>
      </c>
      <c r="N115" s="487"/>
      <c r="O115" s="478">
        <f t="shared" si="33"/>
        <v>0</v>
      </c>
      <c r="P115" s="478">
        <f t="shared" si="34"/>
        <v>0</v>
      </c>
    </row>
    <row r="116" spans="2:16">
      <c r="B116" s="160" t="str">
        <f t="shared" si="35"/>
        <v/>
      </c>
      <c r="C116" s="472">
        <f>IF(D93="","-",+C115+1)</f>
        <v>2026</v>
      </c>
      <c r="D116" s="347">
        <f>IF(F115+SUM(E$99:E115)=D$92,F115,D$92-SUM(E$99:E115))</f>
        <v>2965287</v>
      </c>
      <c r="E116" s="486">
        <f>IF(+J96&lt;F115,J96,D116)</f>
        <v>120228</v>
      </c>
      <c r="F116" s="485">
        <f t="shared" si="45"/>
        <v>2845059</v>
      </c>
      <c r="G116" s="485">
        <f t="shared" si="46"/>
        <v>2905173</v>
      </c>
      <c r="H116" s="486">
        <f t="shared" si="47"/>
        <v>440327.66820271011</v>
      </c>
      <c r="I116" s="542">
        <f t="shared" si="48"/>
        <v>440327.66820271011</v>
      </c>
      <c r="J116" s="478">
        <f t="shared" si="29"/>
        <v>0</v>
      </c>
      <c r="K116" s="478"/>
      <c r="L116" s="487"/>
      <c r="M116" s="478">
        <f t="shared" si="31"/>
        <v>0</v>
      </c>
      <c r="N116" s="487"/>
      <c r="O116" s="478">
        <f t="shared" si="33"/>
        <v>0</v>
      </c>
      <c r="P116" s="478">
        <f t="shared" si="34"/>
        <v>0</v>
      </c>
    </row>
    <row r="117" spans="2:16">
      <c r="B117" s="160" t="str">
        <f t="shared" si="35"/>
        <v/>
      </c>
      <c r="C117" s="472">
        <f>IF(D93="","-",+C116+1)</f>
        <v>2027</v>
      </c>
      <c r="D117" s="347">
        <f>IF(F116+SUM(E$99:E116)=D$92,F116,D$92-SUM(E$99:E116))</f>
        <v>2845059</v>
      </c>
      <c r="E117" s="486">
        <f>IF(+J96&lt;F116,J96,D117)</f>
        <v>120228</v>
      </c>
      <c r="F117" s="485">
        <f t="shared" si="45"/>
        <v>2724831</v>
      </c>
      <c r="G117" s="485">
        <f t="shared" si="46"/>
        <v>2784945</v>
      </c>
      <c r="H117" s="486">
        <f t="shared" si="47"/>
        <v>427080.6282127765</v>
      </c>
      <c r="I117" s="542">
        <f t="shared" si="48"/>
        <v>427080.6282127765</v>
      </c>
      <c r="J117" s="478">
        <f t="shared" si="29"/>
        <v>0</v>
      </c>
      <c r="K117" s="478"/>
      <c r="L117" s="487"/>
      <c r="M117" s="478">
        <f t="shared" si="31"/>
        <v>0</v>
      </c>
      <c r="N117" s="487"/>
      <c r="O117" s="478">
        <f t="shared" si="33"/>
        <v>0</v>
      </c>
      <c r="P117" s="478">
        <f t="shared" si="34"/>
        <v>0</v>
      </c>
    </row>
    <row r="118" spans="2:16">
      <c r="B118" s="160" t="str">
        <f t="shared" si="35"/>
        <v/>
      </c>
      <c r="C118" s="472">
        <f>IF(D93="","-",+C117+1)</f>
        <v>2028</v>
      </c>
      <c r="D118" s="347">
        <f>IF(F117+SUM(E$99:E117)=D$92,F117,D$92-SUM(E$99:E117))</f>
        <v>2724831</v>
      </c>
      <c r="E118" s="486">
        <f>IF(+J96&lt;F117,J96,D118)</f>
        <v>120228</v>
      </c>
      <c r="F118" s="485">
        <f t="shared" si="45"/>
        <v>2604603</v>
      </c>
      <c r="G118" s="485">
        <f t="shared" si="46"/>
        <v>2664717</v>
      </c>
      <c r="H118" s="486">
        <f t="shared" si="47"/>
        <v>413833.58822284284</v>
      </c>
      <c r="I118" s="542">
        <f t="shared" si="48"/>
        <v>413833.58822284284</v>
      </c>
      <c r="J118" s="478">
        <f t="shared" si="29"/>
        <v>0</v>
      </c>
      <c r="K118" s="478"/>
      <c r="L118" s="487"/>
      <c r="M118" s="478">
        <f t="shared" si="31"/>
        <v>0</v>
      </c>
      <c r="N118" s="487"/>
      <c r="O118" s="478">
        <f t="shared" si="33"/>
        <v>0</v>
      </c>
      <c r="P118" s="478">
        <f t="shared" si="34"/>
        <v>0</v>
      </c>
    </row>
    <row r="119" spans="2:16">
      <c r="B119" s="160" t="str">
        <f t="shared" si="35"/>
        <v/>
      </c>
      <c r="C119" s="472">
        <f>IF(D93="","-",+C118+1)</f>
        <v>2029</v>
      </c>
      <c r="D119" s="347">
        <f>IF(F118+SUM(E$99:E118)=D$92,F118,D$92-SUM(E$99:E118))</f>
        <v>2604603</v>
      </c>
      <c r="E119" s="486">
        <f>IF(+J96&lt;F118,J96,D119)</f>
        <v>120228</v>
      </c>
      <c r="F119" s="485">
        <f t="shared" si="45"/>
        <v>2484375</v>
      </c>
      <c r="G119" s="485">
        <f t="shared" si="46"/>
        <v>2544489</v>
      </c>
      <c r="H119" s="486">
        <f t="shared" si="47"/>
        <v>400586.54823290923</v>
      </c>
      <c r="I119" s="542">
        <f t="shared" si="48"/>
        <v>400586.54823290923</v>
      </c>
      <c r="J119" s="478">
        <f t="shared" si="29"/>
        <v>0</v>
      </c>
      <c r="K119" s="478"/>
      <c r="L119" s="487"/>
      <c r="M119" s="478">
        <f t="shared" si="31"/>
        <v>0</v>
      </c>
      <c r="N119" s="487"/>
      <c r="O119" s="478">
        <f t="shared" si="33"/>
        <v>0</v>
      </c>
      <c r="P119" s="478">
        <f t="shared" si="34"/>
        <v>0</v>
      </c>
    </row>
    <row r="120" spans="2:16">
      <c r="B120" s="160" t="str">
        <f t="shared" si="35"/>
        <v/>
      </c>
      <c r="C120" s="472">
        <f>IF(D93="","-",+C119+1)</f>
        <v>2030</v>
      </c>
      <c r="D120" s="347">
        <f>IF(F119+SUM(E$99:E119)=D$92,F119,D$92-SUM(E$99:E119))</f>
        <v>2484375</v>
      </c>
      <c r="E120" s="486">
        <f>IF(+J96&lt;F119,J96,D120)</f>
        <v>120228</v>
      </c>
      <c r="F120" s="485">
        <f t="shared" si="45"/>
        <v>2364147</v>
      </c>
      <c r="G120" s="485">
        <f t="shared" si="46"/>
        <v>2424261</v>
      </c>
      <c r="H120" s="486">
        <f t="shared" si="47"/>
        <v>387339.50824297563</v>
      </c>
      <c r="I120" s="542">
        <f t="shared" si="48"/>
        <v>387339.50824297563</v>
      </c>
      <c r="J120" s="478">
        <f t="shared" si="29"/>
        <v>0</v>
      </c>
      <c r="K120" s="478"/>
      <c r="L120" s="487"/>
      <c r="M120" s="478">
        <f t="shared" si="31"/>
        <v>0</v>
      </c>
      <c r="N120" s="487"/>
      <c r="O120" s="478">
        <f t="shared" si="33"/>
        <v>0</v>
      </c>
      <c r="P120" s="478">
        <f t="shared" si="34"/>
        <v>0</v>
      </c>
    </row>
    <row r="121" spans="2:16">
      <c r="B121" s="160" t="str">
        <f t="shared" si="35"/>
        <v/>
      </c>
      <c r="C121" s="472">
        <f>IF(D93="","-",+C120+1)</f>
        <v>2031</v>
      </c>
      <c r="D121" s="347">
        <f>IF(F120+SUM(E$99:E120)=D$92,F120,D$92-SUM(E$99:E120))</f>
        <v>2364147</v>
      </c>
      <c r="E121" s="486">
        <f>IF(+J96&lt;F120,J96,D121)</f>
        <v>120228</v>
      </c>
      <c r="F121" s="485">
        <f t="shared" si="45"/>
        <v>2243919</v>
      </c>
      <c r="G121" s="485">
        <f t="shared" si="46"/>
        <v>2304033</v>
      </c>
      <c r="H121" s="486">
        <f t="shared" si="47"/>
        <v>374092.46825304197</v>
      </c>
      <c r="I121" s="542">
        <f t="shared" si="48"/>
        <v>374092.46825304197</v>
      </c>
      <c r="J121" s="478">
        <f t="shared" si="29"/>
        <v>0</v>
      </c>
      <c r="K121" s="478"/>
      <c r="L121" s="487"/>
      <c r="M121" s="478">
        <f t="shared" si="31"/>
        <v>0</v>
      </c>
      <c r="N121" s="487"/>
      <c r="O121" s="478">
        <f t="shared" si="33"/>
        <v>0</v>
      </c>
      <c r="P121" s="478">
        <f t="shared" si="34"/>
        <v>0</v>
      </c>
    </row>
    <row r="122" spans="2:16">
      <c r="B122" s="160" t="str">
        <f t="shared" si="35"/>
        <v/>
      </c>
      <c r="C122" s="472">
        <f>IF(D93="","-",+C121+1)</f>
        <v>2032</v>
      </c>
      <c r="D122" s="347">
        <f>IF(F121+SUM(E$99:E121)=D$92,F121,D$92-SUM(E$99:E121))</f>
        <v>2243919</v>
      </c>
      <c r="E122" s="486">
        <f>IF(+J96&lt;F121,J96,D122)</f>
        <v>120228</v>
      </c>
      <c r="F122" s="485">
        <f t="shared" si="45"/>
        <v>2123691</v>
      </c>
      <c r="G122" s="485">
        <f t="shared" si="46"/>
        <v>2183805</v>
      </c>
      <c r="H122" s="486">
        <f t="shared" si="47"/>
        <v>360845.42826310836</v>
      </c>
      <c r="I122" s="542">
        <f t="shared" si="48"/>
        <v>360845.42826310836</v>
      </c>
      <c r="J122" s="478">
        <f t="shared" si="29"/>
        <v>0</v>
      </c>
      <c r="K122" s="478"/>
      <c r="L122" s="487"/>
      <c r="M122" s="478">
        <f t="shared" si="31"/>
        <v>0</v>
      </c>
      <c r="N122" s="487"/>
      <c r="O122" s="478">
        <f t="shared" si="33"/>
        <v>0</v>
      </c>
      <c r="P122" s="478">
        <f t="shared" si="34"/>
        <v>0</v>
      </c>
    </row>
    <row r="123" spans="2:16">
      <c r="B123" s="160" t="str">
        <f t="shared" si="35"/>
        <v/>
      </c>
      <c r="C123" s="472">
        <f>IF(D93="","-",+C122+1)</f>
        <v>2033</v>
      </c>
      <c r="D123" s="347">
        <f>IF(F122+SUM(E$99:E122)=D$92,F122,D$92-SUM(E$99:E122))</f>
        <v>2123691</v>
      </c>
      <c r="E123" s="486">
        <f>IF(+J96&lt;F122,J96,D123)</f>
        <v>120228</v>
      </c>
      <c r="F123" s="485">
        <f t="shared" si="45"/>
        <v>2003463</v>
      </c>
      <c r="G123" s="485">
        <f t="shared" si="46"/>
        <v>2063577</v>
      </c>
      <c r="H123" s="486">
        <f t="shared" si="47"/>
        <v>347598.38827317476</v>
      </c>
      <c r="I123" s="542">
        <f t="shared" si="48"/>
        <v>347598.38827317476</v>
      </c>
      <c r="J123" s="478">
        <f t="shared" si="29"/>
        <v>0</v>
      </c>
      <c r="K123" s="478"/>
      <c r="L123" s="487"/>
      <c r="M123" s="478">
        <f t="shared" si="31"/>
        <v>0</v>
      </c>
      <c r="N123" s="487"/>
      <c r="O123" s="478">
        <f t="shared" si="33"/>
        <v>0</v>
      </c>
      <c r="P123" s="478">
        <f t="shared" si="34"/>
        <v>0</v>
      </c>
    </row>
    <row r="124" spans="2:16">
      <c r="B124" s="160" t="str">
        <f t="shared" si="35"/>
        <v/>
      </c>
      <c r="C124" s="472">
        <f>IF(D93="","-",+C123+1)</f>
        <v>2034</v>
      </c>
      <c r="D124" s="347">
        <f>IF(F123+SUM(E$99:E123)=D$92,F123,D$92-SUM(E$99:E123))</f>
        <v>2003463</v>
      </c>
      <c r="E124" s="486">
        <f>IF(+J96&lt;F123,J96,D124)</f>
        <v>120228</v>
      </c>
      <c r="F124" s="485">
        <f t="shared" si="45"/>
        <v>1883235</v>
      </c>
      <c r="G124" s="485">
        <f t="shared" si="46"/>
        <v>1943349</v>
      </c>
      <c r="H124" s="486">
        <f t="shared" si="47"/>
        <v>334351.34828324115</v>
      </c>
      <c r="I124" s="542">
        <f t="shared" si="48"/>
        <v>334351.34828324115</v>
      </c>
      <c r="J124" s="478">
        <f t="shared" si="29"/>
        <v>0</v>
      </c>
      <c r="K124" s="478"/>
      <c r="L124" s="487"/>
      <c r="M124" s="478">
        <f t="shared" si="31"/>
        <v>0</v>
      </c>
      <c r="N124" s="487"/>
      <c r="O124" s="478">
        <f t="shared" si="33"/>
        <v>0</v>
      </c>
      <c r="P124" s="478">
        <f t="shared" si="34"/>
        <v>0</v>
      </c>
    </row>
    <row r="125" spans="2:16">
      <c r="B125" s="160" t="str">
        <f t="shared" si="35"/>
        <v/>
      </c>
      <c r="C125" s="472">
        <f>IF(D93="","-",+C124+1)</f>
        <v>2035</v>
      </c>
      <c r="D125" s="347">
        <f>IF(F124+SUM(E$99:E124)=D$92,F124,D$92-SUM(E$99:E124))</f>
        <v>1883235</v>
      </c>
      <c r="E125" s="486">
        <f>IF(+J96&lt;F124,J96,D125)</f>
        <v>120228</v>
      </c>
      <c r="F125" s="485">
        <f t="shared" si="45"/>
        <v>1763007</v>
      </c>
      <c r="G125" s="485">
        <f t="shared" si="46"/>
        <v>1823121</v>
      </c>
      <c r="H125" s="486">
        <f t="shared" si="47"/>
        <v>321104.30829330749</v>
      </c>
      <c r="I125" s="542">
        <f t="shared" si="48"/>
        <v>321104.30829330749</v>
      </c>
      <c r="J125" s="478">
        <f t="shared" si="29"/>
        <v>0</v>
      </c>
      <c r="K125" s="478"/>
      <c r="L125" s="487"/>
      <c r="M125" s="478">
        <f t="shared" si="31"/>
        <v>0</v>
      </c>
      <c r="N125" s="487"/>
      <c r="O125" s="478">
        <f t="shared" si="33"/>
        <v>0</v>
      </c>
      <c r="P125" s="478">
        <f t="shared" si="34"/>
        <v>0</v>
      </c>
    </row>
    <row r="126" spans="2:16">
      <c r="B126" s="160" t="str">
        <f t="shared" si="35"/>
        <v/>
      </c>
      <c r="C126" s="472">
        <f>IF(D93="","-",+C125+1)</f>
        <v>2036</v>
      </c>
      <c r="D126" s="347">
        <f>IF(F125+SUM(E$99:E125)=D$92,F125,D$92-SUM(E$99:E125))</f>
        <v>1763007</v>
      </c>
      <c r="E126" s="486">
        <f>IF(+J96&lt;F125,J96,D126)</f>
        <v>120228</v>
      </c>
      <c r="F126" s="485">
        <f t="shared" si="45"/>
        <v>1642779</v>
      </c>
      <c r="G126" s="485">
        <f t="shared" si="46"/>
        <v>1702893</v>
      </c>
      <c r="H126" s="486">
        <f t="shared" si="47"/>
        <v>307857.26830337389</v>
      </c>
      <c r="I126" s="542">
        <f t="shared" si="48"/>
        <v>307857.26830337389</v>
      </c>
      <c r="J126" s="478">
        <f t="shared" si="29"/>
        <v>0</v>
      </c>
      <c r="K126" s="478"/>
      <c r="L126" s="487"/>
      <c r="M126" s="478">
        <f t="shared" si="31"/>
        <v>0</v>
      </c>
      <c r="N126" s="487"/>
      <c r="O126" s="478">
        <f t="shared" si="33"/>
        <v>0</v>
      </c>
      <c r="P126" s="478">
        <f t="shared" si="34"/>
        <v>0</v>
      </c>
    </row>
    <row r="127" spans="2:16">
      <c r="B127" s="160" t="str">
        <f t="shared" si="35"/>
        <v/>
      </c>
      <c r="C127" s="472">
        <f>IF(D93="","-",+C126+1)</f>
        <v>2037</v>
      </c>
      <c r="D127" s="347">
        <f>IF(F126+SUM(E$99:E126)=D$92,F126,D$92-SUM(E$99:E126))</f>
        <v>1642779</v>
      </c>
      <c r="E127" s="486">
        <f>IF(+J96&lt;F126,J96,D127)</f>
        <v>120228</v>
      </c>
      <c r="F127" s="485">
        <f t="shared" si="45"/>
        <v>1522551</v>
      </c>
      <c r="G127" s="485">
        <f t="shared" si="46"/>
        <v>1582665</v>
      </c>
      <c r="H127" s="486">
        <f t="shared" si="47"/>
        <v>294610.22831344022</v>
      </c>
      <c r="I127" s="542">
        <f t="shared" si="48"/>
        <v>294610.22831344022</v>
      </c>
      <c r="J127" s="478">
        <f t="shared" si="29"/>
        <v>0</v>
      </c>
      <c r="K127" s="478"/>
      <c r="L127" s="487"/>
      <c r="M127" s="478">
        <f t="shared" si="31"/>
        <v>0</v>
      </c>
      <c r="N127" s="487"/>
      <c r="O127" s="478">
        <f t="shared" si="33"/>
        <v>0</v>
      </c>
      <c r="P127" s="478">
        <f t="shared" si="34"/>
        <v>0</v>
      </c>
    </row>
    <row r="128" spans="2:16">
      <c r="B128" s="160" t="str">
        <f t="shared" si="35"/>
        <v/>
      </c>
      <c r="C128" s="472">
        <f>IF(D93="","-",+C127+1)</f>
        <v>2038</v>
      </c>
      <c r="D128" s="347">
        <f>IF(F127+SUM(E$99:E127)=D$92,F127,D$92-SUM(E$99:E127))</f>
        <v>1522551</v>
      </c>
      <c r="E128" s="486">
        <f>IF(+J96&lt;F127,J96,D128)</f>
        <v>120228</v>
      </c>
      <c r="F128" s="485">
        <f t="shared" si="45"/>
        <v>1402323</v>
      </c>
      <c r="G128" s="485">
        <f t="shared" si="46"/>
        <v>1462437</v>
      </c>
      <c r="H128" s="486">
        <f t="shared" si="47"/>
        <v>281363.18832350662</v>
      </c>
      <c r="I128" s="542">
        <f t="shared" si="48"/>
        <v>281363.18832350662</v>
      </c>
      <c r="J128" s="478">
        <f t="shared" si="29"/>
        <v>0</v>
      </c>
      <c r="K128" s="478"/>
      <c r="L128" s="487"/>
      <c r="M128" s="478">
        <f t="shared" si="31"/>
        <v>0</v>
      </c>
      <c r="N128" s="487"/>
      <c r="O128" s="478">
        <f t="shared" si="33"/>
        <v>0</v>
      </c>
      <c r="P128" s="478">
        <f t="shared" si="34"/>
        <v>0</v>
      </c>
    </row>
    <row r="129" spans="2:16">
      <c r="B129" s="160" t="str">
        <f t="shared" si="35"/>
        <v/>
      </c>
      <c r="C129" s="472">
        <f>IF(D93="","-",+C128+1)</f>
        <v>2039</v>
      </c>
      <c r="D129" s="347">
        <f>IF(F128+SUM(E$99:E128)=D$92,F128,D$92-SUM(E$99:E128))</f>
        <v>1402323</v>
      </c>
      <c r="E129" s="486">
        <f>IF(+J96&lt;F128,J96,D129)</f>
        <v>120228</v>
      </c>
      <c r="F129" s="485">
        <f t="shared" si="45"/>
        <v>1282095</v>
      </c>
      <c r="G129" s="485">
        <f t="shared" si="46"/>
        <v>1342209</v>
      </c>
      <c r="H129" s="486">
        <f t="shared" si="47"/>
        <v>268116.14833357302</v>
      </c>
      <c r="I129" s="542">
        <f t="shared" si="48"/>
        <v>268116.14833357302</v>
      </c>
      <c r="J129" s="478">
        <f t="shared" si="29"/>
        <v>0</v>
      </c>
      <c r="K129" s="478"/>
      <c r="L129" s="487"/>
      <c r="M129" s="478">
        <f t="shared" si="31"/>
        <v>0</v>
      </c>
      <c r="N129" s="487"/>
      <c r="O129" s="478">
        <f t="shared" si="33"/>
        <v>0</v>
      </c>
      <c r="P129" s="478">
        <f t="shared" si="34"/>
        <v>0</v>
      </c>
    </row>
    <row r="130" spans="2:16">
      <c r="B130" s="160" t="str">
        <f t="shared" si="35"/>
        <v/>
      </c>
      <c r="C130" s="472">
        <f>IF(D93="","-",+C129+1)</f>
        <v>2040</v>
      </c>
      <c r="D130" s="347">
        <f>IF(F129+SUM(E$99:E129)=D$92,F129,D$92-SUM(E$99:E129))</f>
        <v>1282095</v>
      </c>
      <c r="E130" s="486">
        <f>IF(+J96&lt;F129,J96,D130)</f>
        <v>120228</v>
      </c>
      <c r="F130" s="485">
        <f t="shared" si="45"/>
        <v>1161867</v>
      </c>
      <c r="G130" s="485">
        <f t="shared" si="46"/>
        <v>1221981</v>
      </c>
      <c r="H130" s="486">
        <f t="shared" si="47"/>
        <v>254869.10834363938</v>
      </c>
      <c r="I130" s="542">
        <f t="shared" si="48"/>
        <v>254869.10834363938</v>
      </c>
      <c r="J130" s="478">
        <f t="shared" si="29"/>
        <v>0</v>
      </c>
      <c r="K130" s="478"/>
      <c r="L130" s="487"/>
      <c r="M130" s="478">
        <f t="shared" si="31"/>
        <v>0</v>
      </c>
      <c r="N130" s="487"/>
      <c r="O130" s="478">
        <f t="shared" si="33"/>
        <v>0</v>
      </c>
      <c r="P130" s="478">
        <f t="shared" si="34"/>
        <v>0</v>
      </c>
    </row>
    <row r="131" spans="2:16">
      <c r="B131" s="160" t="str">
        <f t="shared" si="35"/>
        <v/>
      </c>
      <c r="C131" s="472">
        <f>IF(D93="","-",+C130+1)</f>
        <v>2041</v>
      </c>
      <c r="D131" s="347">
        <f>IF(F130+SUM(E$99:E130)=D$92,F130,D$92-SUM(E$99:E130))</f>
        <v>1161867</v>
      </c>
      <c r="E131" s="486">
        <f>IF(+J96&lt;F130,J96,D131)</f>
        <v>120228</v>
      </c>
      <c r="F131" s="485">
        <f t="shared" ref="F131:F154" si="49">+D131-E131</f>
        <v>1041639</v>
      </c>
      <c r="G131" s="485">
        <f t="shared" ref="G131:G154" si="50">+(F131+D131)/2</f>
        <v>1101753</v>
      </c>
      <c r="H131" s="486">
        <f t="shared" si="47"/>
        <v>241622.06835370578</v>
      </c>
      <c r="I131" s="542">
        <f t="shared" si="48"/>
        <v>241622.06835370578</v>
      </c>
      <c r="J131" s="478">
        <f t="shared" ref="J131:J154" si="51">+I131-H131</f>
        <v>0</v>
      </c>
      <c r="K131" s="478"/>
      <c r="L131" s="487"/>
      <c r="M131" s="478">
        <f t="shared" ref="M131:M154" si="52">IF(L131&lt;&gt;0,+H131-L131,0)</f>
        <v>0</v>
      </c>
      <c r="N131" s="487"/>
      <c r="O131" s="478">
        <f t="shared" ref="O131:O154" si="53">IF(N131&lt;&gt;0,+I131-N131,0)</f>
        <v>0</v>
      </c>
      <c r="P131" s="478">
        <f t="shared" ref="P131:P154" si="54">+O131-M131</f>
        <v>0</v>
      </c>
    </row>
    <row r="132" spans="2:16">
      <c r="B132" s="160" t="str">
        <f t="shared" si="35"/>
        <v/>
      </c>
      <c r="C132" s="472">
        <f>IF(D93="","-",+C131+1)</f>
        <v>2042</v>
      </c>
      <c r="D132" s="347">
        <f>IF(F131+SUM(E$99:E131)=D$92,F131,D$92-SUM(E$99:E131))</f>
        <v>1041639</v>
      </c>
      <c r="E132" s="486">
        <f>IF(+J96&lt;F131,J96,D132)</f>
        <v>120228</v>
      </c>
      <c r="F132" s="485">
        <f t="shared" si="49"/>
        <v>921411</v>
      </c>
      <c r="G132" s="485">
        <f t="shared" si="50"/>
        <v>981525</v>
      </c>
      <c r="H132" s="486">
        <f t="shared" si="47"/>
        <v>228375.02836377214</v>
      </c>
      <c r="I132" s="542">
        <f t="shared" si="48"/>
        <v>228375.02836377214</v>
      </c>
      <c r="J132" s="478">
        <f t="shared" si="51"/>
        <v>0</v>
      </c>
      <c r="K132" s="478"/>
      <c r="L132" s="487"/>
      <c r="M132" s="478">
        <f t="shared" si="52"/>
        <v>0</v>
      </c>
      <c r="N132" s="487"/>
      <c r="O132" s="478">
        <f t="shared" si="53"/>
        <v>0</v>
      </c>
      <c r="P132" s="478">
        <f t="shared" si="54"/>
        <v>0</v>
      </c>
    </row>
    <row r="133" spans="2:16">
      <c r="B133" s="160" t="str">
        <f t="shared" si="35"/>
        <v/>
      </c>
      <c r="C133" s="472">
        <f>IF(D93="","-",+C132+1)</f>
        <v>2043</v>
      </c>
      <c r="D133" s="347">
        <f>IF(F132+SUM(E$99:E132)=D$92,F132,D$92-SUM(E$99:E132))</f>
        <v>921411</v>
      </c>
      <c r="E133" s="486">
        <f>IF(+J96&lt;F132,J96,D133)</f>
        <v>120228</v>
      </c>
      <c r="F133" s="485">
        <f t="shared" si="49"/>
        <v>801183</v>
      </c>
      <c r="G133" s="485">
        <f t="shared" si="50"/>
        <v>861297</v>
      </c>
      <c r="H133" s="486">
        <f t="shared" si="47"/>
        <v>215127.98837383854</v>
      </c>
      <c r="I133" s="542">
        <f t="shared" si="48"/>
        <v>215127.98837383854</v>
      </c>
      <c r="J133" s="478">
        <f t="shared" si="51"/>
        <v>0</v>
      </c>
      <c r="K133" s="478"/>
      <c r="L133" s="487"/>
      <c r="M133" s="478">
        <f t="shared" si="52"/>
        <v>0</v>
      </c>
      <c r="N133" s="487"/>
      <c r="O133" s="478">
        <f t="shared" si="53"/>
        <v>0</v>
      </c>
      <c r="P133" s="478">
        <f t="shared" si="54"/>
        <v>0</v>
      </c>
    </row>
    <row r="134" spans="2:16">
      <c r="B134" s="160" t="str">
        <f t="shared" si="35"/>
        <v/>
      </c>
      <c r="C134" s="472">
        <f>IF(D93="","-",+C133+1)</f>
        <v>2044</v>
      </c>
      <c r="D134" s="347">
        <f>IF(F133+SUM(E$99:E133)=D$92,F133,D$92-SUM(E$99:E133))</f>
        <v>801183</v>
      </c>
      <c r="E134" s="486">
        <f>IF(+J96&lt;F133,J96,D134)</f>
        <v>120228</v>
      </c>
      <c r="F134" s="485">
        <f t="shared" si="49"/>
        <v>680955</v>
      </c>
      <c r="G134" s="485">
        <f t="shared" si="50"/>
        <v>741069</v>
      </c>
      <c r="H134" s="486">
        <f t="shared" si="47"/>
        <v>201880.94838390491</v>
      </c>
      <c r="I134" s="542">
        <f t="shared" si="48"/>
        <v>201880.94838390491</v>
      </c>
      <c r="J134" s="478">
        <f t="shared" si="51"/>
        <v>0</v>
      </c>
      <c r="K134" s="478"/>
      <c r="L134" s="487"/>
      <c r="M134" s="478">
        <f t="shared" si="52"/>
        <v>0</v>
      </c>
      <c r="N134" s="487"/>
      <c r="O134" s="478">
        <f t="shared" si="53"/>
        <v>0</v>
      </c>
      <c r="P134" s="478">
        <f t="shared" si="54"/>
        <v>0</v>
      </c>
    </row>
    <row r="135" spans="2:16">
      <c r="B135" s="160" t="str">
        <f t="shared" si="35"/>
        <v/>
      </c>
      <c r="C135" s="472">
        <f>IF(D93="","-",+C134+1)</f>
        <v>2045</v>
      </c>
      <c r="D135" s="347">
        <f>IF(F134+SUM(E$99:E134)=D$92,F134,D$92-SUM(E$99:E134))</f>
        <v>680955</v>
      </c>
      <c r="E135" s="486">
        <f>IF(+J96&lt;F134,J96,D135)</f>
        <v>120228</v>
      </c>
      <c r="F135" s="485">
        <f t="shared" si="49"/>
        <v>560727</v>
      </c>
      <c r="G135" s="485">
        <f t="shared" si="50"/>
        <v>620841</v>
      </c>
      <c r="H135" s="486">
        <f t="shared" si="47"/>
        <v>188633.90839397127</v>
      </c>
      <c r="I135" s="542">
        <f t="shared" si="48"/>
        <v>188633.90839397127</v>
      </c>
      <c r="J135" s="478">
        <f t="shared" si="51"/>
        <v>0</v>
      </c>
      <c r="K135" s="478"/>
      <c r="L135" s="487"/>
      <c r="M135" s="478">
        <f t="shared" si="52"/>
        <v>0</v>
      </c>
      <c r="N135" s="487"/>
      <c r="O135" s="478">
        <f t="shared" si="53"/>
        <v>0</v>
      </c>
      <c r="P135" s="478">
        <f t="shared" si="54"/>
        <v>0</v>
      </c>
    </row>
    <row r="136" spans="2:16">
      <c r="B136" s="160" t="str">
        <f t="shared" si="35"/>
        <v/>
      </c>
      <c r="C136" s="472">
        <f>IF(D93="","-",+C135+1)</f>
        <v>2046</v>
      </c>
      <c r="D136" s="347">
        <f>IF(F135+SUM(E$99:E135)=D$92,F135,D$92-SUM(E$99:E135))</f>
        <v>560727</v>
      </c>
      <c r="E136" s="486">
        <f>IF(+J96&lt;F135,J96,D136)</f>
        <v>120228</v>
      </c>
      <c r="F136" s="485">
        <f t="shared" si="49"/>
        <v>440499</v>
      </c>
      <c r="G136" s="485">
        <f t="shared" si="50"/>
        <v>500613</v>
      </c>
      <c r="H136" s="486">
        <f t="shared" si="47"/>
        <v>175386.86840403767</v>
      </c>
      <c r="I136" s="542">
        <f t="shared" si="48"/>
        <v>175386.86840403767</v>
      </c>
      <c r="J136" s="478">
        <f t="shared" si="51"/>
        <v>0</v>
      </c>
      <c r="K136" s="478"/>
      <c r="L136" s="487"/>
      <c r="M136" s="478">
        <f t="shared" si="52"/>
        <v>0</v>
      </c>
      <c r="N136" s="487"/>
      <c r="O136" s="478">
        <f t="shared" si="53"/>
        <v>0</v>
      </c>
      <c r="P136" s="478">
        <f t="shared" si="54"/>
        <v>0</v>
      </c>
    </row>
    <row r="137" spans="2:16">
      <c r="B137" s="160" t="str">
        <f t="shared" si="35"/>
        <v/>
      </c>
      <c r="C137" s="472">
        <f>IF(D93="","-",+C136+1)</f>
        <v>2047</v>
      </c>
      <c r="D137" s="347">
        <f>IF(F136+SUM(E$99:E136)=D$92,F136,D$92-SUM(E$99:E136))</f>
        <v>440499</v>
      </c>
      <c r="E137" s="486">
        <f>IF(+J96&lt;F136,J96,D137)</f>
        <v>120228</v>
      </c>
      <c r="F137" s="485">
        <f t="shared" si="49"/>
        <v>320271</v>
      </c>
      <c r="G137" s="485">
        <f t="shared" si="50"/>
        <v>380385</v>
      </c>
      <c r="H137" s="486">
        <f t="shared" si="47"/>
        <v>162139.82841410403</v>
      </c>
      <c r="I137" s="542">
        <f t="shared" si="48"/>
        <v>162139.82841410403</v>
      </c>
      <c r="J137" s="478">
        <f t="shared" si="51"/>
        <v>0</v>
      </c>
      <c r="K137" s="478"/>
      <c r="L137" s="487"/>
      <c r="M137" s="478">
        <f t="shared" si="52"/>
        <v>0</v>
      </c>
      <c r="N137" s="487"/>
      <c r="O137" s="478">
        <f t="shared" si="53"/>
        <v>0</v>
      </c>
      <c r="P137" s="478">
        <f t="shared" si="54"/>
        <v>0</v>
      </c>
    </row>
    <row r="138" spans="2:16">
      <c r="B138" s="160" t="str">
        <f t="shared" si="35"/>
        <v/>
      </c>
      <c r="C138" s="472">
        <f>IF(D93="","-",+C137+1)</f>
        <v>2048</v>
      </c>
      <c r="D138" s="347">
        <f>IF(F137+SUM(E$99:E137)=D$92,F137,D$92-SUM(E$99:E137))</f>
        <v>320271</v>
      </c>
      <c r="E138" s="486">
        <f>IF(+J96&lt;F137,J96,D138)</f>
        <v>120228</v>
      </c>
      <c r="F138" s="485">
        <f t="shared" si="49"/>
        <v>200043</v>
      </c>
      <c r="G138" s="485">
        <f t="shared" si="50"/>
        <v>260157</v>
      </c>
      <c r="H138" s="486">
        <f t="shared" si="47"/>
        <v>148892.78842417043</v>
      </c>
      <c r="I138" s="542">
        <f t="shared" si="48"/>
        <v>148892.78842417043</v>
      </c>
      <c r="J138" s="478">
        <f t="shared" si="51"/>
        <v>0</v>
      </c>
      <c r="K138" s="478"/>
      <c r="L138" s="487"/>
      <c r="M138" s="478">
        <f t="shared" si="52"/>
        <v>0</v>
      </c>
      <c r="N138" s="487"/>
      <c r="O138" s="478">
        <f t="shared" si="53"/>
        <v>0</v>
      </c>
      <c r="P138" s="478">
        <f t="shared" si="54"/>
        <v>0</v>
      </c>
    </row>
    <row r="139" spans="2:16">
      <c r="B139" s="160" t="str">
        <f t="shared" si="35"/>
        <v/>
      </c>
      <c r="C139" s="472">
        <f>IF(D93="","-",+C138+1)</f>
        <v>2049</v>
      </c>
      <c r="D139" s="347">
        <f>IF(F138+SUM(E$99:E138)=D$92,F138,D$92-SUM(E$99:E138))</f>
        <v>200043</v>
      </c>
      <c r="E139" s="486">
        <f>IF(+J96&lt;F138,J96,D139)</f>
        <v>120228</v>
      </c>
      <c r="F139" s="485">
        <f t="shared" si="49"/>
        <v>79815</v>
      </c>
      <c r="G139" s="485">
        <f t="shared" si="50"/>
        <v>139929</v>
      </c>
      <c r="H139" s="486">
        <f t="shared" si="47"/>
        <v>135645.7484342368</v>
      </c>
      <c r="I139" s="542">
        <f t="shared" si="48"/>
        <v>135645.7484342368</v>
      </c>
      <c r="J139" s="478">
        <f t="shared" si="51"/>
        <v>0</v>
      </c>
      <c r="K139" s="478"/>
      <c r="L139" s="487"/>
      <c r="M139" s="478">
        <f t="shared" si="52"/>
        <v>0</v>
      </c>
      <c r="N139" s="487"/>
      <c r="O139" s="478">
        <f t="shared" si="53"/>
        <v>0</v>
      </c>
      <c r="P139" s="478">
        <f t="shared" si="54"/>
        <v>0</v>
      </c>
    </row>
    <row r="140" spans="2:16">
      <c r="B140" s="160" t="str">
        <f t="shared" si="35"/>
        <v/>
      </c>
      <c r="C140" s="472">
        <f>IF(D93="","-",+C139+1)</f>
        <v>2050</v>
      </c>
      <c r="D140" s="347">
        <f>IF(F139+SUM(E$99:E139)=D$92,F139,D$92-SUM(E$99:E139))</f>
        <v>79815</v>
      </c>
      <c r="E140" s="486">
        <f>IF(+J96&lt;F139,J96,D140)</f>
        <v>79815</v>
      </c>
      <c r="F140" s="485">
        <f t="shared" si="49"/>
        <v>0</v>
      </c>
      <c r="G140" s="485">
        <f t="shared" si="50"/>
        <v>39907.5</v>
      </c>
      <c r="H140" s="486">
        <f t="shared" si="47"/>
        <v>84212.114219634997</v>
      </c>
      <c r="I140" s="542">
        <f t="shared" si="48"/>
        <v>84212.114219634997</v>
      </c>
      <c r="J140" s="478">
        <f t="shared" si="51"/>
        <v>0</v>
      </c>
      <c r="K140" s="478"/>
      <c r="L140" s="487"/>
      <c r="M140" s="478">
        <f t="shared" si="52"/>
        <v>0</v>
      </c>
      <c r="N140" s="487"/>
      <c r="O140" s="478">
        <f t="shared" si="53"/>
        <v>0</v>
      </c>
      <c r="P140" s="478">
        <f t="shared" si="54"/>
        <v>0</v>
      </c>
    </row>
    <row r="141" spans="2:16">
      <c r="B141" s="160" t="str">
        <f t="shared" si="35"/>
        <v/>
      </c>
      <c r="C141" s="472">
        <f>IF(D93="","-",+C140+1)</f>
        <v>2051</v>
      </c>
      <c r="D141" s="347">
        <f>IF(F140+SUM(E$99:E140)=D$92,F140,D$92-SUM(E$99:E140))</f>
        <v>0</v>
      </c>
      <c r="E141" s="486">
        <f>IF(+J96&lt;F140,J96,D141)</f>
        <v>0</v>
      </c>
      <c r="F141" s="485">
        <f t="shared" si="49"/>
        <v>0</v>
      </c>
      <c r="G141" s="485">
        <f t="shared" si="50"/>
        <v>0</v>
      </c>
      <c r="H141" s="486">
        <f t="shared" si="47"/>
        <v>0</v>
      </c>
      <c r="I141" s="542">
        <f t="shared" si="48"/>
        <v>0</v>
      </c>
      <c r="J141" s="478">
        <f t="shared" si="51"/>
        <v>0</v>
      </c>
      <c r="K141" s="478"/>
      <c r="L141" s="487"/>
      <c r="M141" s="478">
        <f t="shared" si="52"/>
        <v>0</v>
      </c>
      <c r="N141" s="487"/>
      <c r="O141" s="478">
        <f t="shared" si="53"/>
        <v>0</v>
      </c>
      <c r="P141" s="478">
        <f t="shared" si="54"/>
        <v>0</v>
      </c>
    </row>
    <row r="142" spans="2:16">
      <c r="B142" s="160" t="str">
        <f t="shared" si="35"/>
        <v/>
      </c>
      <c r="C142" s="472">
        <f>IF(D93="","-",+C141+1)</f>
        <v>2052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49"/>
        <v>0</v>
      </c>
      <c r="G142" s="485">
        <f t="shared" si="50"/>
        <v>0</v>
      </c>
      <c r="H142" s="486">
        <f t="shared" si="47"/>
        <v>0</v>
      </c>
      <c r="I142" s="542">
        <f t="shared" si="48"/>
        <v>0</v>
      </c>
      <c r="J142" s="478">
        <f t="shared" si="51"/>
        <v>0</v>
      </c>
      <c r="K142" s="478"/>
      <c r="L142" s="487"/>
      <c r="M142" s="478">
        <f t="shared" si="52"/>
        <v>0</v>
      </c>
      <c r="N142" s="487"/>
      <c r="O142" s="478">
        <f t="shared" si="53"/>
        <v>0</v>
      </c>
      <c r="P142" s="478">
        <f t="shared" si="54"/>
        <v>0</v>
      </c>
    </row>
    <row r="143" spans="2:16">
      <c r="B143" s="160" t="str">
        <f t="shared" si="35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9"/>
        <v>0</v>
      </c>
      <c r="G143" s="485">
        <f t="shared" si="50"/>
        <v>0</v>
      </c>
      <c r="H143" s="486">
        <f t="shared" si="47"/>
        <v>0</v>
      </c>
      <c r="I143" s="542">
        <f t="shared" si="48"/>
        <v>0</v>
      </c>
      <c r="J143" s="478">
        <f t="shared" si="51"/>
        <v>0</v>
      </c>
      <c r="K143" s="478"/>
      <c r="L143" s="487"/>
      <c r="M143" s="478">
        <f t="shared" si="52"/>
        <v>0</v>
      </c>
      <c r="N143" s="487"/>
      <c r="O143" s="478">
        <f t="shared" si="53"/>
        <v>0</v>
      </c>
      <c r="P143" s="478">
        <f t="shared" si="54"/>
        <v>0</v>
      </c>
    </row>
    <row r="144" spans="2:16">
      <c r="B144" s="160" t="str">
        <f t="shared" si="35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9"/>
        <v>0</v>
      </c>
      <c r="G144" s="485">
        <f t="shared" si="50"/>
        <v>0</v>
      </c>
      <c r="H144" s="486">
        <f t="shared" si="47"/>
        <v>0</v>
      </c>
      <c r="I144" s="542">
        <f t="shared" si="48"/>
        <v>0</v>
      </c>
      <c r="J144" s="478">
        <f t="shared" si="51"/>
        <v>0</v>
      </c>
      <c r="K144" s="478"/>
      <c r="L144" s="487"/>
      <c r="M144" s="478">
        <f t="shared" si="52"/>
        <v>0</v>
      </c>
      <c r="N144" s="487"/>
      <c r="O144" s="478">
        <f t="shared" si="53"/>
        <v>0</v>
      </c>
      <c r="P144" s="478">
        <f t="shared" si="54"/>
        <v>0</v>
      </c>
    </row>
    <row r="145" spans="2:16">
      <c r="B145" s="160" t="str">
        <f t="shared" si="35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9"/>
        <v>0</v>
      </c>
      <c r="G145" s="485">
        <f t="shared" si="50"/>
        <v>0</v>
      </c>
      <c r="H145" s="486">
        <f t="shared" si="47"/>
        <v>0</v>
      </c>
      <c r="I145" s="542">
        <f t="shared" si="48"/>
        <v>0</v>
      </c>
      <c r="J145" s="478">
        <f t="shared" si="51"/>
        <v>0</v>
      </c>
      <c r="K145" s="478"/>
      <c r="L145" s="487"/>
      <c r="M145" s="478">
        <f t="shared" si="52"/>
        <v>0</v>
      </c>
      <c r="N145" s="487"/>
      <c r="O145" s="478">
        <f t="shared" si="53"/>
        <v>0</v>
      </c>
      <c r="P145" s="478">
        <f t="shared" si="54"/>
        <v>0</v>
      </c>
    </row>
    <row r="146" spans="2:16">
      <c r="B146" s="160" t="str">
        <f t="shared" si="35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9"/>
        <v>0</v>
      </c>
      <c r="G146" s="485">
        <f t="shared" si="50"/>
        <v>0</v>
      </c>
      <c r="H146" s="486">
        <f t="shared" si="47"/>
        <v>0</v>
      </c>
      <c r="I146" s="542">
        <f t="shared" si="48"/>
        <v>0</v>
      </c>
      <c r="J146" s="478">
        <f t="shared" si="51"/>
        <v>0</v>
      </c>
      <c r="K146" s="478"/>
      <c r="L146" s="487"/>
      <c r="M146" s="478">
        <f t="shared" si="52"/>
        <v>0</v>
      </c>
      <c r="N146" s="487"/>
      <c r="O146" s="478">
        <f t="shared" si="53"/>
        <v>0</v>
      </c>
      <c r="P146" s="478">
        <f t="shared" si="54"/>
        <v>0</v>
      </c>
    </row>
    <row r="147" spans="2:16">
      <c r="B147" s="160" t="str">
        <f t="shared" si="35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9"/>
        <v>0</v>
      </c>
      <c r="G147" s="485">
        <f t="shared" si="50"/>
        <v>0</v>
      </c>
      <c r="H147" s="486">
        <f t="shared" si="47"/>
        <v>0</v>
      </c>
      <c r="I147" s="542">
        <f t="shared" si="48"/>
        <v>0</v>
      </c>
      <c r="J147" s="478">
        <f t="shared" si="51"/>
        <v>0</v>
      </c>
      <c r="K147" s="478"/>
      <c r="L147" s="487"/>
      <c r="M147" s="478">
        <f t="shared" si="52"/>
        <v>0</v>
      </c>
      <c r="N147" s="487"/>
      <c r="O147" s="478">
        <f t="shared" si="53"/>
        <v>0</v>
      </c>
      <c r="P147" s="478">
        <f t="shared" si="54"/>
        <v>0</v>
      </c>
    </row>
    <row r="148" spans="2:16">
      <c r="B148" s="160" t="str">
        <f t="shared" si="35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9"/>
        <v>0</v>
      </c>
      <c r="G148" s="485">
        <f t="shared" si="50"/>
        <v>0</v>
      </c>
      <c r="H148" s="486">
        <f t="shared" si="47"/>
        <v>0</v>
      </c>
      <c r="I148" s="542">
        <f t="shared" si="48"/>
        <v>0</v>
      </c>
      <c r="J148" s="478">
        <f t="shared" si="51"/>
        <v>0</v>
      </c>
      <c r="K148" s="478"/>
      <c r="L148" s="487"/>
      <c r="M148" s="478">
        <f t="shared" si="52"/>
        <v>0</v>
      </c>
      <c r="N148" s="487"/>
      <c r="O148" s="478">
        <f t="shared" si="53"/>
        <v>0</v>
      </c>
      <c r="P148" s="478">
        <f t="shared" si="54"/>
        <v>0</v>
      </c>
    </row>
    <row r="149" spans="2:16">
      <c r="B149" s="160" t="str">
        <f t="shared" si="35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9"/>
        <v>0</v>
      </c>
      <c r="G149" s="485">
        <f t="shared" si="50"/>
        <v>0</v>
      </c>
      <c r="H149" s="486">
        <f t="shared" si="47"/>
        <v>0</v>
      </c>
      <c r="I149" s="542">
        <f t="shared" si="48"/>
        <v>0</v>
      </c>
      <c r="J149" s="478">
        <f t="shared" si="51"/>
        <v>0</v>
      </c>
      <c r="K149" s="478"/>
      <c r="L149" s="487"/>
      <c r="M149" s="478">
        <f t="shared" si="52"/>
        <v>0</v>
      </c>
      <c r="N149" s="487"/>
      <c r="O149" s="478">
        <f t="shared" si="53"/>
        <v>0</v>
      </c>
      <c r="P149" s="478">
        <f t="shared" si="54"/>
        <v>0</v>
      </c>
    </row>
    <row r="150" spans="2:16">
      <c r="B150" s="160" t="str">
        <f t="shared" si="35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9"/>
        <v>0</v>
      </c>
      <c r="G150" s="485">
        <f t="shared" si="50"/>
        <v>0</v>
      </c>
      <c r="H150" s="486">
        <f t="shared" si="47"/>
        <v>0</v>
      </c>
      <c r="I150" s="542">
        <f t="shared" si="48"/>
        <v>0</v>
      </c>
      <c r="J150" s="478">
        <f t="shared" si="51"/>
        <v>0</v>
      </c>
      <c r="K150" s="478"/>
      <c r="L150" s="487"/>
      <c r="M150" s="478">
        <f t="shared" si="52"/>
        <v>0</v>
      </c>
      <c r="N150" s="487"/>
      <c r="O150" s="478">
        <f t="shared" si="53"/>
        <v>0</v>
      </c>
      <c r="P150" s="478">
        <f t="shared" si="54"/>
        <v>0</v>
      </c>
    </row>
    <row r="151" spans="2:16">
      <c r="B151" s="160" t="str">
        <f t="shared" si="35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9"/>
        <v>0</v>
      </c>
      <c r="G151" s="485">
        <f t="shared" si="50"/>
        <v>0</v>
      </c>
      <c r="H151" s="486">
        <f t="shared" si="47"/>
        <v>0</v>
      </c>
      <c r="I151" s="542">
        <f t="shared" si="48"/>
        <v>0</v>
      </c>
      <c r="J151" s="478">
        <f t="shared" si="51"/>
        <v>0</v>
      </c>
      <c r="K151" s="478"/>
      <c r="L151" s="487"/>
      <c r="M151" s="478">
        <f t="shared" si="52"/>
        <v>0</v>
      </c>
      <c r="N151" s="487"/>
      <c r="O151" s="478">
        <f t="shared" si="53"/>
        <v>0</v>
      </c>
      <c r="P151" s="478">
        <f t="shared" si="54"/>
        <v>0</v>
      </c>
    </row>
    <row r="152" spans="2:16">
      <c r="B152" s="160" t="str">
        <f t="shared" si="35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9"/>
        <v>0</v>
      </c>
      <c r="G152" s="485">
        <f t="shared" si="50"/>
        <v>0</v>
      </c>
      <c r="H152" s="486">
        <f t="shared" si="47"/>
        <v>0</v>
      </c>
      <c r="I152" s="542">
        <f t="shared" si="48"/>
        <v>0</v>
      </c>
      <c r="J152" s="478">
        <f t="shared" si="51"/>
        <v>0</v>
      </c>
      <c r="K152" s="478"/>
      <c r="L152" s="487"/>
      <c r="M152" s="478">
        <f t="shared" si="52"/>
        <v>0</v>
      </c>
      <c r="N152" s="487"/>
      <c r="O152" s="478">
        <f t="shared" si="53"/>
        <v>0</v>
      </c>
      <c r="P152" s="478">
        <f t="shared" si="54"/>
        <v>0</v>
      </c>
    </row>
    <row r="153" spans="2:16">
      <c r="B153" s="160" t="str">
        <f t="shared" si="35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9"/>
        <v>0</v>
      </c>
      <c r="G153" s="485">
        <f t="shared" si="50"/>
        <v>0</v>
      </c>
      <c r="H153" s="486">
        <f t="shared" si="47"/>
        <v>0</v>
      </c>
      <c r="I153" s="542">
        <f t="shared" si="48"/>
        <v>0</v>
      </c>
      <c r="J153" s="478">
        <f t="shared" si="51"/>
        <v>0</v>
      </c>
      <c r="K153" s="478"/>
      <c r="L153" s="487"/>
      <c r="M153" s="478">
        <f t="shared" si="52"/>
        <v>0</v>
      </c>
      <c r="N153" s="487"/>
      <c r="O153" s="478">
        <f t="shared" si="53"/>
        <v>0</v>
      </c>
      <c r="P153" s="478">
        <f t="shared" si="54"/>
        <v>0</v>
      </c>
    </row>
    <row r="154" spans="2:16" ht="13.5" thickBot="1">
      <c r="B154" s="160" t="str">
        <f t="shared" si="35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9"/>
        <v>0</v>
      </c>
      <c r="G154" s="490">
        <f t="shared" si="50"/>
        <v>0</v>
      </c>
      <c r="H154" s="490">
        <f t="shared" si="47"/>
        <v>0</v>
      </c>
      <c r="I154" s="545">
        <f t="shared" si="48"/>
        <v>0</v>
      </c>
      <c r="J154" s="495">
        <f t="shared" si="51"/>
        <v>0</v>
      </c>
      <c r="K154" s="478"/>
      <c r="L154" s="494"/>
      <c r="M154" s="495">
        <f t="shared" si="52"/>
        <v>0</v>
      </c>
      <c r="N154" s="494"/>
      <c r="O154" s="495">
        <f t="shared" si="53"/>
        <v>0</v>
      </c>
      <c r="P154" s="495">
        <f t="shared" si="54"/>
        <v>0</v>
      </c>
    </row>
    <row r="155" spans="2:16">
      <c r="C155" s="347" t="s">
        <v>77</v>
      </c>
      <c r="D155" s="348"/>
      <c r="E155" s="348">
        <f>SUM(E99:E154)</f>
        <v>4688896</v>
      </c>
      <c r="F155" s="348"/>
      <c r="G155" s="348"/>
      <c r="H155" s="348">
        <f>SUM(H99:H154)</f>
        <v>16875543.336303875</v>
      </c>
      <c r="I155" s="348">
        <f>SUM(I99:I154)</f>
        <v>16875543.336303875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64" priority="1" stopIfTrue="1" operator="equal">
      <formula>$I$10</formula>
    </cfRule>
  </conditionalFormatting>
  <conditionalFormatting sqref="C99:C154">
    <cfRule type="cellIs" dxfId="63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P162"/>
  <sheetViews>
    <sheetView view="pageBreakPreview" zoomScale="75" zoomScaleNormal="100" zoomScaleSheetLayoutView="75" workbookViewId="0">
      <selection activeCell="D112" sqref="D11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3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1158897.5538764906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1158897.5538764906</v>
      </c>
      <c r="O6" s="233"/>
      <c r="P6" s="233"/>
    </row>
    <row r="7" spans="1:16" ht="13.5" thickBot="1">
      <c r="C7" s="431" t="s">
        <v>46</v>
      </c>
      <c r="D7" s="432" t="s">
        <v>208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81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11456065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10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272763.45238095237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9403820</v>
      </c>
      <c r="E17" s="474">
        <v>29572</v>
      </c>
      <c r="F17" s="473">
        <v>9374248</v>
      </c>
      <c r="G17" s="474">
        <v>388620</v>
      </c>
      <c r="H17" s="474">
        <v>388620</v>
      </c>
      <c r="I17" s="475">
        <f t="shared" ref="I17:I48" si="0">H17-G17</f>
        <v>0</v>
      </c>
      <c r="J17" s="475"/>
      <c r="K17" s="476">
        <v>388620</v>
      </c>
      <c r="L17" s="477">
        <f t="shared" ref="L17:L48" si="1">IF(K17&lt;&gt;0,+G17-K17,0)</f>
        <v>0</v>
      </c>
      <c r="M17" s="476">
        <v>388620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12236959</v>
      </c>
      <c r="E18" s="480">
        <v>219045</v>
      </c>
      <c r="F18" s="479">
        <v>12017913</v>
      </c>
      <c r="G18" s="480">
        <v>1953188</v>
      </c>
      <c r="H18" s="481">
        <v>1953188</v>
      </c>
      <c r="I18" s="475">
        <f t="shared" si="0"/>
        <v>0</v>
      </c>
      <c r="J18" s="475"/>
      <c r="K18" s="476">
        <f t="shared" ref="K18:K23" si="4">G18</f>
        <v>1953188</v>
      </c>
      <c r="L18" s="550">
        <f t="shared" si="1"/>
        <v>0</v>
      </c>
      <c r="M18" s="476">
        <f t="shared" ref="M18:M23" si="5">H18</f>
        <v>1953188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2011</v>
      </c>
      <c r="D19" s="479">
        <v>11983531</v>
      </c>
      <c r="E19" s="480">
        <v>239846.03921568627</v>
      </c>
      <c r="F19" s="479">
        <v>11743684.960784314</v>
      </c>
      <c r="G19" s="480">
        <v>2078241.729976739</v>
      </c>
      <c r="H19" s="481">
        <v>2078241.729976739</v>
      </c>
      <c r="I19" s="475">
        <f t="shared" si="0"/>
        <v>0</v>
      </c>
      <c r="J19" s="475"/>
      <c r="K19" s="476">
        <f t="shared" si="4"/>
        <v>2078241.729976739</v>
      </c>
      <c r="L19" s="550">
        <f t="shared" si="1"/>
        <v>0</v>
      </c>
      <c r="M19" s="476">
        <f t="shared" si="5"/>
        <v>2078241.729976739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11743684.960784314</v>
      </c>
      <c r="E20" s="480">
        <v>235233.61538461538</v>
      </c>
      <c r="F20" s="479">
        <v>11508451.345399698</v>
      </c>
      <c r="G20" s="480">
        <v>1837287.5395832672</v>
      </c>
      <c r="H20" s="481">
        <v>1837287.5395832672</v>
      </c>
      <c r="I20" s="475">
        <f t="shared" si="0"/>
        <v>0</v>
      </c>
      <c r="J20" s="475"/>
      <c r="K20" s="476">
        <f t="shared" si="4"/>
        <v>1837287.5395832672</v>
      </c>
      <c r="L20" s="550">
        <f t="shared" si="1"/>
        <v>0</v>
      </c>
      <c r="M20" s="476">
        <f t="shared" si="5"/>
        <v>1837287.5395832672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2013</v>
      </c>
      <c r="D21" s="479">
        <v>11508451.345399698</v>
      </c>
      <c r="E21" s="480">
        <v>235233.61538461538</v>
      </c>
      <c r="F21" s="479">
        <v>11273217.730015082</v>
      </c>
      <c r="G21" s="480">
        <v>1845125.3182548014</v>
      </c>
      <c r="H21" s="481">
        <v>1845125.3182548014</v>
      </c>
      <c r="I21" s="475">
        <v>0</v>
      </c>
      <c r="J21" s="475"/>
      <c r="K21" s="476">
        <f t="shared" si="4"/>
        <v>1845125.3182548014</v>
      </c>
      <c r="L21" s="550">
        <f t="shared" ref="L21:L26" si="7">IF(K21&lt;&gt;0,+G21-K21,0)</f>
        <v>0</v>
      </c>
      <c r="M21" s="476">
        <f t="shared" si="5"/>
        <v>1845125.3182548014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11273217.730015082</v>
      </c>
      <c r="E22" s="480">
        <v>235233.61538461538</v>
      </c>
      <c r="F22" s="479">
        <v>11037984.114630466</v>
      </c>
      <c r="G22" s="480">
        <v>1754708.9063952654</v>
      </c>
      <c r="H22" s="481">
        <v>1754708.9063952654</v>
      </c>
      <c r="I22" s="475">
        <v>0</v>
      </c>
      <c r="J22" s="475"/>
      <c r="K22" s="476">
        <f t="shared" si="4"/>
        <v>1754708.9063952654</v>
      </c>
      <c r="L22" s="550">
        <f t="shared" si="7"/>
        <v>0</v>
      </c>
      <c r="M22" s="476">
        <f t="shared" si="5"/>
        <v>1754708.9063952654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>IU</v>
      </c>
      <c r="C23" s="472">
        <f>IF(D11="","-",+C22+1)</f>
        <v>2015</v>
      </c>
      <c r="D23" s="479">
        <v>10261901.114630468</v>
      </c>
      <c r="E23" s="480">
        <v>220308.94230769231</v>
      </c>
      <c r="F23" s="479">
        <v>10041592.172322776</v>
      </c>
      <c r="G23" s="480">
        <v>1604759.8916783908</v>
      </c>
      <c r="H23" s="481">
        <v>1604759.8916783908</v>
      </c>
      <c r="I23" s="475">
        <v>0</v>
      </c>
      <c r="J23" s="475"/>
      <c r="K23" s="476">
        <f t="shared" si="4"/>
        <v>1604759.8916783908</v>
      </c>
      <c r="L23" s="550">
        <f t="shared" si="7"/>
        <v>0</v>
      </c>
      <c r="M23" s="476">
        <f t="shared" si="5"/>
        <v>1604759.8916783908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10041592.172322776</v>
      </c>
      <c r="E24" s="480">
        <v>220308.94230769231</v>
      </c>
      <c r="F24" s="479">
        <v>9821283.2300150841</v>
      </c>
      <c r="G24" s="480">
        <v>1508464.8564289983</v>
      </c>
      <c r="H24" s="481">
        <v>1508464.8564289983</v>
      </c>
      <c r="I24" s="475">
        <f t="shared" si="0"/>
        <v>0</v>
      </c>
      <c r="J24" s="475"/>
      <c r="K24" s="476">
        <f t="shared" ref="K24:K29" si="10">G24</f>
        <v>1508464.8564289983</v>
      </c>
      <c r="L24" s="550">
        <f t="shared" si="7"/>
        <v>0</v>
      </c>
      <c r="M24" s="476">
        <f t="shared" ref="M24:M29" si="11">H24</f>
        <v>1508464.8564289983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9821283.2300150841</v>
      </c>
      <c r="E25" s="480">
        <v>249044.89130434784</v>
      </c>
      <c r="F25" s="479">
        <v>9572238.3387107365</v>
      </c>
      <c r="G25" s="480">
        <v>1467214.2093174371</v>
      </c>
      <c r="H25" s="481">
        <v>1467214.2093174371</v>
      </c>
      <c r="I25" s="475">
        <f t="shared" si="0"/>
        <v>0</v>
      </c>
      <c r="J25" s="475"/>
      <c r="K25" s="476">
        <f t="shared" si="10"/>
        <v>1467214.2093174371</v>
      </c>
      <c r="L25" s="550">
        <f t="shared" si="7"/>
        <v>0</v>
      </c>
      <c r="M25" s="476">
        <f t="shared" si="11"/>
        <v>1467214.2093174371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2018</v>
      </c>
      <c r="D26" s="479">
        <v>9572238.3387107365</v>
      </c>
      <c r="E26" s="480">
        <v>254579.22222222222</v>
      </c>
      <c r="F26" s="479">
        <v>9317659.1164885145</v>
      </c>
      <c r="G26" s="480">
        <v>1385696.2768787597</v>
      </c>
      <c r="H26" s="481">
        <v>1385696.2768787597</v>
      </c>
      <c r="I26" s="475">
        <f t="shared" si="0"/>
        <v>0</v>
      </c>
      <c r="J26" s="475"/>
      <c r="K26" s="476">
        <f t="shared" si="10"/>
        <v>1385696.2768787597</v>
      </c>
      <c r="L26" s="550">
        <f t="shared" si="7"/>
        <v>0</v>
      </c>
      <c r="M26" s="476">
        <f t="shared" si="11"/>
        <v>1385696.2768787597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9317659.1164885145</v>
      </c>
      <c r="E27" s="480">
        <v>286401.625</v>
      </c>
      <c r="F27" s="479">
        <v>9031257.4914885145</v>
      </c>
      <c r="G27" s="480">
        <v>1310790.7332032048</v>
      </c>
      <c r="H27" s="481">
        <v>1310790.7332032048</v>
      </c>
      <c r="I27" s="475">
        <f t="shared" si="0"/>
        <v>0</v>
      </c>
      <c r="J27" s="475"/>
      <c r="K27" s="476">
        <f t="shared" si="10"/>
        <v>1310790.7332032048</v>
      </c>
      <c r="L27" s="550">
        <f t="shared" ref="L27" si="12">IF(K27&lt;&gt;0,+G27-K27,0)</f>
        <v>0</v>
      </c>
      <c r="M27" s="476">
        <f t="shared" si="11"/>
        <v>1310790.7332032048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>IU</v>
      </c>
      <c r="C28" s="472">
        <f>IF(D11="","-",+C27+1)</f>
        <v>2020</v>
      </c>
      <c r="D28" s="479">
        <v>9012688</v>
      </c>
      <c r="E28" s="480">
        <v>272763.45238095237</v>
      </c>
      <c r="F28" s="479">
        <v>8739924.5476190485</v>
      </c>
      <c r="G28" s="480">
        <v>1231446.9312681679</v>
      </c>
      <c r="H28" s="481">
        <v>1231446.9312681679</v>
      </c>
      <c r="I28" s="475">
        <f t="shared" si="0"/>
        <v>0</v>
      </c>
      <c r="J28" s="475"/>
      <c r="K28" s="476">
        <f t="shared" si="10"/>
        <v>1231446.9312681679</v>
      </c>
      <c r="L28" s="550">
        <f t="shared" ref="L28" si="15">IF(K28&lt;&gt;0,+G28-K28,0)</f>
        <v>0</v>
      </c>
      <c r="M28" s="476">
        <f t="shared" si="11"/>
        <v>1231446.9312681679</v>
      </c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8758494.0391075611</v>
      </c>
      <c r="E29" s="480">
        <v>266420.11627906974</v>
      </c>
      <c r="F29" s="479">
        <v>8492073.9228284918</v>
      </c>
      <c r="G29" s="480">
        <v>1182049.5546801805</v>
      </c>
      <c r="H29" s="481">
        <v>1182049.5546801805</v>
      </c>
      <c r="I29" s="475">
        <f t="shared" si="0"/>
        <v>0</v>
      </c>
      <c r="J29" s="475"/>
      <c r="K29" s="476">
        <f t="shared" si="10"/>
        <v>1182049.5546801805</v>
      </c>
      <c r="L29" s="550">
        <f t="shared" ref="L29" si="16">IF(K29&lt;&gt;0,+G29-K29,0)</f>
        <v>0</v>
      </c>
      <c r="M29" s="476">
        <f t="shared" si="11"/>
        <v>1182049.5546801805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/>
      </c>
      <c r="C30" s="472">
        <f>IF(D11="","-",+C29+1)</f>
        <v>2022</v>
      </c>
      <c r="D30" s="479">
        <v>8492073.9228284918</v>
      </c>
      <c r="E30" s="480">
        <v>272763.45238095237</v>
      </c>
      <c r="F30" s="479">
        <v>8219310.4704475394</v>
      </c>
      <c r="G30" s="480">
        <v>1158897.5538764906</v>
      </c>
      <c r="H30" s="481">
        <v>1158897.5538764906</v>
      </c>
      <c r="I30" s="475">
        <f t="shared" si="0"/>
        <v>0</v>
      </c>
      <c r="J30" s="475"/>
      <c r="K30" s="476">
        <f t="shared" ref="K30" si="17">G30</f>
        <v>1158897.5538764906</v>
      </c>
      <c r="L30" s="550">
        <f t="shared" ref="L30" si="18">IF(K30&lt;&gt;0,+G30-K30,0)</f>
        <v>0</v>
      </c>
      <c r="M30" s="476">
        <f t="shared" ref="M30" si="19">H30</f>
        <v>1158897.5538764906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8219310.4704475394</v>
      </c>
      <c r="E31" s="484">
        <f>IF(+I14&lt;F30,I14,D31)</f>
        <v>272763.45238095237</v>
      </c>
      <c r="F31" s="485">
        <f t="shared" ref="F31:F72" si="20">+D31-E31</f>
        <v>7946547.0180665869</v>
      </c>
      <c r="G31" s="486">
        <f t="shared" ref="G31:G72" si="21">(D31+F31)/2*I$12+E31</f>
        <v>1144194.0700705519</v>
      </c>
      <c r="H31" s="455">
        <f t="shared" ref="H31:H72" si="22">+(D31+F31)/2*I$13+E31</f>
        <v>1144194.0700705519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7946547.0180665869</v>
      </c>
      <c r="E32" s="484">
        <f>IF(+I14&lt;F31,I14,D32)</f>
        <v>272763.45238095237</v>
      </c>
      <c r="F32" s="485">
        <f t="shared" si="20"/>
        <v>7673783.5656856345</v>
      </c>
      <c r="G32" s="486">
        <f t="shared" si="21"/>
        <v>1114787.1024586745</v>
      </c>
      <c r="H32" s="455">
        <f t="shared" si="22"/>
        <v>1114787.1024586745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7673783.5656856345</v>
      </c>
      <c r="E33" s="484">
        <f>IF(+I14&lt;F32,I14,D33)</f>
        <v>272763.45238095237</v>
      </c>
      <c r="F33" s="485">
        <f t="shared" si="20"/>
        <v>7401020.1133046821</v>
      </c>
      <c r="G33" s="486">
        <f t="shared" si="21"/>
        <v>1085380.1348467967</v>
      </c>
      <c r="H33" s="455">
        <f t="shared" si="22"/>
        <v>1085380.1348467967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7401020.1133046821</v>
      </c>
      <c r="E34" s="484">
        <f>IF(+I14&lt;F33,I14,D34)</f>
        <v>272763.45238095237</v>
      </c>
      <c r="F34" s="485">
        <f t="shared" si="20"/>
        <v>7128256.6609237297</v>
      </c>
      <c r="G34" s="486">
        <f t="shared" si="21"/>
        <v>1055973.1672349195</v>
      </c>
      <c r="H34" s="455">
        <f t="shared" si="22"/>
        <v>1055973.1672349195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7128256.6609237297</v>
      </c>
      <c r="E35" s="484">
        <f>IF(+I14&lt;F34,I14,D35)</f>
        <v>272763.45238095237</v>
      </c>
      <c r="F35" s="485">
        <f t="shared" si="20"/>
        <v>6855493.2085427772</v>
      </c>
      <c r="G35" s="486">
        <f t="shared" si="21"/>
        <v>1026566.1996230418</v>
      </c>
      <c r="H35" s="455">
        <f t="shared" si="22"/>
        <v>1026566.1996230418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6855493.2085427772</v>
      </c>
      <c r="E36" s="484">
        <f>IF(+I14&lt;F35,I14,D36)</f>
        <v>272763.45238095237</v>
      </c>
      <c r="F36" s="485">
        <f t="shared" si="20"/>
        <v>6582729.7561618248</v>
      </c>
      <c r="G36" s="486">
        <f t="shared" si="21"/>
        <v>997159.23201116454</v>
      </c>
      <c r="H36" s="455">
        <f t="shared" si="22"/>
        <v>997159.23201116454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6582729.7561618248</v>
      </c>
      <c r="E37" s="484">
        <f>IF(+I14&lt;F36,I14,D37)</f>
        <v>272763.45238095237</v>
      </c>
      <c r="F37" s="485">
        <f t="shared" si="20"/>
        <v>6309966.3037808724</v>
      </c>
      <c r="G37" s="486">
        <f t="shared" si="21"/>
        <v>967752.26439928683</v>
      </c>
      <c r="H37" s="455">
        <f t="shared" si="22"/>
        <v>967752.26439928683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6309966.3037808724</v>
      </c>
      <c r="E38" s="484">
        <f>IF(+I14&lt;F37,I14,D38)</f>
        <v>272763.45238095237</v>
      </c>
      <c r="F38" s="485">
        <f t="shared" si="20"/>
        <v>6037202.8513999199</v>
      </c>
      <c r="G38" s="486">
        <f t="shared" si="21"/>
        <v>938345.29678740958</v>
      </c>
      <c r="H38" s="455">
        <f t="shared" si="22"/>
        <v>938345.29678740958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6037202.8513999199</v>
      </c>
      <c r="E39" s="484">
        <f>IF(+I14&lt;F38,I14,D39)</f>
        <v>272763.45238095237</v>
      </c>
      <c r="F39" s="485">
        <f t="shared" si="20"/>
        <v>5764439.3990189675</v>
      </c>
      <c r="G39" s="486">
        <f t="shared" si="21"/>
        <v>908938.32917553186</v>
      </c>
      <c r="H39" s="455">
        <f t="shared" si="22"/>
        <v>908938.32917553186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5764439.3990189675</v>
      </c>
      <c r="E40" s="484">
        <f>IF(+I14&lt;F39,I14,D40)</f>
        <v>272763.45238095237</v>
      </c>
      <c r="F40" s="485">
        <f t="shared" si="20"/>
        <v>5491675.9466380151</v>
      </c>
      <c r="G40" s="486">
        <f t="shared" si="21"/>
        <v>879531.36156365462</v>
      </c>
      <c r="H40" s="455">
        <f t="shared" si="22"/>
        <v>879531.36156365462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5491675.9466380151</v>
      </c>
      <c r="E41" s="484">
        <f>IF(+I14&lt;F40,I14,D41)</f>
        <v>272763.45238095237</v>
      </c>
      <c r="F41" s="485">
        <f t="shared" si="20"/>
        <v>5218912.4942570627</v>
      </c>
      <c r="G41" s="486">
        <f t="shared" si="21"/>
        <v>850124.3939517769</v>
      </c>
      <c r="H41" s="455">
        <f t="shared" si="22"/>
        <v>850124.3939517769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5218912.4942570627</v>
      </c>
      <c r="E42" s="484">
        <f>IF(+I14&lt;F41,I14,D42)</f>
        <v>272763.45238095237</v>
      </c>
      <c r="F42" s="485">
        <f t="shared" si="20"/>
        <v>4946149.0418761102</v>
      </c>
      <c r="G42" s="486">
        <f t="shared" si="21"/>
        <v>820717.42633989966</v>
      </c>
      <c r="H42" s="455">
        <f t="shared" si="22"/>
        <v>820717.42633989966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4946149.0418761102</v>
      </c>
      <c r="E43" s="484">
        <f>IF(+I14&lt;F42,I14,D43)</f>
        <v>272763.45238095237</v>
      </c>
      <c r="F43" s="485">
        <f t="shared" si="20"/>
        <v>4673385.5894951578</v>
      </c>
      <c r="G43" s="486">
        <f t="shared" si="21"/>
        <v>791310.45872802194</v>
      </c>
      <c r="H43" s="455">
        <f t="shared" si="22"/>
        <v>791310.45872802194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4673385.5894951578</v>
      </c>
      <c r="E44" s="484">
        <f>IF(+I14&lt;F43,I14,D44)</f>
        <v>272763.45238095237</v>
      </c>
      <c r="F44" s="485">
        <f t="shared" si="20"/>
        <v>4400622.1371142054</v>
      </c>
      <c r="G44" s="486">
        <f t="shared" si="21"/>
        <v>761903.49111614458</v>
      </c>
      <c r="H44" s="455">
        <f t="shared" si="22"/>
        <v>761903.49111614458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4400622.1371142054</v>
      </c>
      <c r="E45" s="484">
        <f>IF(+I14&lt;F44,I14,D45)</f>
        <v>272763.45238095237</v>
      </c>
      <c r="F45" s="485">
        <f t="shared" si="20"/>
        <v>4127858.684733253</v>
      </c>
      <c r="G45" s="486">
        <f t="shared" si="21"/>
        <v>732496.52350426698</v>
      </c>
      <c r="H45" s="455">
        <f t="shared" si="22"/>
        <v>732496.52350426698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4127858.684733253</v>
      </c>
      <c r="E46" s="484">
        <f>IF(+I14&lt;F45,I14,D46)</f>
        <v>272763.45238095237</v>
      </c>
      <c r="F46" s="485">
        <f t="shared" si="20"/>
        <v>3855095.2323523005</v>
      </c>
      <c r="G46" s="486">
        <f t="shared" si="21"/>
        <v>703089.5558923895</v>
      </c>
      <c r="H46" s="455">
        <f t="shared" si="22"/>
        <v>703089.5558923895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3855095.2323523005</v>
      </c>
      <c r="E47" s="484">
        <f>IF(+I14&lt;F46,I14,D47)</f>
        <v>272763.45238095237</v>
      </c>
      <c r="F47" s="485">
        <f t="shared" si="20"/>
        <v>3582331.7799713481</v>
      </c>
      <c r="G47" s="486">
        <f t="shared" si="21"/>
        <v>673682.58828051202</v>
      </c>
      <c r="H47" s="455">
        <f t="shared" si="22"/>
        <v>673682.58828051202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3582331.7799713481</v>
      </c>
      <c r="E48" s="484">
        <f>IF(+I14&lt;F47,I14,D48)</f>
        <v>272763.45238095237</v>
      </c>
      <c r="F48" s="485">
        <f t="shared" si="20"/>
        <v>3309568.3275903957</v>
      </c>
      <c r="G48" s="486">
        <f t="shared" si="21"/>
        <v>644275.62066863454</v>
      </c>
      <c r="H48" s="455">
        <f t="shared" si="22"/>
        <v>644275.62066863454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3309568.3275903957</v>
      </c>
      <c r="E49" s="484">
        <f>IF(+I14&lt;F48,I14,D49)</f>
        <v>272763.45238095237</v>
      </c>
      <c r="F49" s="485">
        <f t="shared" si="20"/>
        <v>3036804.8752094433</v>
      </c>
      <c r="G49" s="486">
        <f t="shared" si="21"/>
        <v>614868.65305675706</v>
      </c>
      <c r="H49" s="455">
        <f t="shared" si="22"/>
        <v>614868.65305675706</v>
      </c>
      <c r="I49" s="475">
        <f t="shared" ref="I49:I72" si="23">H303-G303</f>
        <v>0</v>
      </c>
      <c r="J49" s="475"/>
      <c r="K49" s="487"/>
      <c r="L49" s="478">
        <f t="shared" ref="L49:L72" si="24">IF(K303&lt;&gt;0,+G303-K303,0)</f>
        <v>0</v>
      </c>
      <c r="M49" s="487"/>
      <c r="N49" s="478">
        <f t="shared" ref="N49:N72" si="25">IF(M303&lt;&gt;0,+H303-M303,0)</f>
        <v>0</v>
      </c>
      <c r="O49" s="478">
        <f t="shared" ref="O49:O72" si="26">+N303-L303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3036804.8752094433</v>
      </c>
      <c r="E50" s="484">
        <f>IF(+I14&lt;F49,I14,D50)</f>
        <v>272763.45238095237</v>
      </c>
      <c r="F50" s="485">
        <f t="shared" si="20"/>
        <v>2764041.4228284908</v>
      </c>
      <c r="G50" s="486">
        <f t="shared" si="21"/>
        <v>585461.68544487958</v>
      </c>
      <c r="H50" s="455">
        <f t="shared" si="22"/>
        <v>585461.68544487958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2764041.4228284908</v>
      </c>
      <c r="E51" s="484">
        <f>IF(+I14&lt;F50,I14,D51)</f>
        <v>272763.45238095237</v>
      </c>
      <c r="F51" s="485">
        <f t="shared" si="20"/>
        <v>2491277.9704475384</v>
      </c>
      <c r="G51" s="486">
        <f t="shared" si="21"/>
        <v>556054.7178330021</v>
      </c>
      <c r="H51" s="455">
        <f t="shared" si="22"/>
        <v>556054.7178330021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2491277.9704475384</v>
      </c>
      <c r="E52" s="484">
        <f>IF(+I14&lt;F51,I14,D52)</f>
        <v>272763.45238095237</v>
      </c>
      <c r="F52" s="485">
        <f t="shared" si="20"/>
        <v>2218514.518066586</v>
      </c>
      <c r="G52" s="486">
        <f t="shared" si="21"/>
        <v>526647.75022112462</v>
      </c>
      <c r="H52" s="455">
        <f t="shared" si="22"/>
        <v>526647.75022112462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2218514.518066586</v>
      </c>
      <c r="E53" s="484">
        <f>IF(+I14&lt;F52,I14,D53)</f>
        <v>272763.45238095237</v>
      </c>
      <c r="F53" s="485">
        <f t="shared" si="20"/>
        <v>1945751.0656856336</v>
      </c>
      <c r="G53" s="486">
        <f t="shared" si="21"/>
        <v>497240.78260924714</v>
      </c>
      <c r="H53" s="455">
        <f t="shared" si="22"/>
        <v>497240.78260924714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1945751.0656856336</v>
      </c>
      <c r="E54" s="484">
        <f>IF(+I14&lt;F53,I14,D54)</f>
        <v>272763.45238095237</v>
      </c>
      <c r="F54" s="485">
        <f t="shared" si="20"/>
        <v>1672987.6133046811</v>
      </c>
      <c r="G54" s="486">
        <f t="shared" si="21"/>
        <v>467833.81499736966</v>
      </c>
      <c r="H54" s="455">
        <f t="shared" si="22"/>
        <v>467833.81499736966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1672987.6133046811</v>
      </c>
      <c r="E55" s="484">
        <f>IF(+I14&lt;F54,I14,D55)</f>
        <v>272763.45238095237</v>
      </c>
      <c r="F55" s="485">
        <f t="shared" si="20"/>
        <v>1400224.1609237287</v>
      </c>
      <c r="G55" s="486">
        <f t="shared" si="21"/>
        <v>438426.84738549218</v>
      </c>
      <c r="H55" s="455">
        <f t="shared" si="22"/>
        <v>438426.84738549218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1400224.1609237287</v>
      </c>
      <c r="E56" s="484">
        <f>IF(+I14&lt;F55,I14,D56)</f>
        <v>272763.45238095237</v>
      </c>
      <c r="F56" s="485">
        <f t="shared" si="20"/>
        <v>1127460.7085427763</v>
      </c>
      <c r="G56" s="486">
        <f t="shared" si="21"/>
        <v>409019.8797736147</v>
      </c>
      <c r="H56" s="455">
        <f t="shared" si="22"/>
        <v>409019.8797736147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1127460.7085427763</v>
      </c>
      <c r="E57" s="484">
        <f>IF(+I14&lt;F56,I14,D57)</f>
        <v>272763.45238095237</v>
      </c>
      <c r="F57" s="485">
        <f t="shared" si="20"/>
        <v>854697.25616182387</v>
      </c>
      <c r="G57" s="486">
        <f t="shared" si="21"/>
        <v>379612.91216173721</v>
      </c>
      <c r="H57" s="455">
        <f t="shared" si="22"/>
        <v>379612.91216173721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854697.25616182387</v>
      </c>
      <c r="E58" s="484">
        <f>IF(+I14&lt;F57,I14,D58)</f>
        <v>272763.45238095237</v>
      </c>
      <c r="F58" s="485">
        <f t="shared" si="20"/>
        <v>581933.80378087144</v>
      </c>
      <c r="G58" s="486">
        <f t="shared" si="21"/>
        <v>350205.94454985968</v>
      </c>
      <c r="H58" s="455">
        <f t="shared" si="22"/>
        <v>350205.94454985968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581933.80378087144</v>
      </c>
      <c r="E59" s="484">
        <f>IF(+I14&lt;F58,I14,D59)</f>
        <v>272763.45238095237</v>
      </c>
      <c r="F59" s="485">
        <f t="shared" si="20"/>
        <v>309170.35139991908</v>
      </c>
      <c r="G59" s="486">
        <f t="shared" si="21"/>
        <v>320798.9769379822</v>
      </c>
      <c r="H59" s="455">
        <f t="shared" si="22"/>
        <v>320798.9769379822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309170.35139991908</v>
      </c>
      <c r="E60" s="484">
        <f>IF(+I14&lt;F59,I14,D60)</f>
        <v>272763.45238095237</v>
      </c>
      <c r="F60" s="485">
        <f t="shared" si="20"/>
        <v>36406.899018966709</v>
      </c>
      <c r="G60" s="486">
        <f t="shared" si="21"/>
        <v>291392.00932610472</v>
      </c>
      <c r="H60" s="455">
        <f t="shared" si="22"/>
        <v>291392.00932610472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36406.899018966709</v>
      </c>
      <c r="E61" s="484">
        <f>IF(+I14&lt;F60,I14,D61)</f>
        <v>36406.899018966709</v>
      </c>
      <c r="F61" s="485">
        <f t="shared" si="20"/>
        <v>0</v>
      </c>
      <c r="G61" s="486">
        <f t="shared" si="21"/>
        <v>38369.435588573513</v>
      </c>
      <c r="H61" s="455">
        <f t="shared" si="22"/>
        <v>38369.435588573513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6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3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3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3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3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3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3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3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21"/>
        <v>0</v>
      </c>
      <c r="H72" s="490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3"/>
    </row>
    <row r="73" spans="2:16">
      <c r="C73" s="347" t="s">
        <v>77</v>
      </c>
      <c r="D73" s="348"/>
      <c r="E73" s="348">
        <f>SUM(E17:E72)</f>
        <v>11456064.999999991</v>
      </c>
      <c r="F73" s="348"/>
      <c r="G73" s="348">
        <f>SUM(G17:G72)</f>
        <v>42278652.12808013</v>
      </c>
      <c r="H73" s="348">
        <f>SUM(H17:H72)</f>
        <v>42278652.12808013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3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1158897.5538764906</v>
      </c>
      <c r="N87" s="508">
        <f>IF(J92&lt;D11,0,VLOOKUP(J92,C17:O72,11))</f>
        <v>1158897.5538764906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1209030.4794242503</v>
      </c>
      <c r="N88" s="512">
        <f>IF(J92&lt;D11,0,VLOOKUP(J92,C99:P154,7))</f>
        <v>1209030.4794242503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WFEC New 138 kV Ties: Sayre to Erick (WFEC) Line &amp; Atoka and Tupelo station work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50132.925547759747</v>
      </c>
      <c r="N89" s="517">
        <f>+N88-N87</f>
        <v>50132.925547759747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TP2006054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11456065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10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293745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26281</v>
      </c>
      <c r="F99" s="479">
        <v>8804059</v>
      </c>
      <c r="G99" s="537">
        <v>4402030</v>
      </c>
      <c r="H99" s="538">
        <v>669894</v>
      </c>
      <c r="I99" s="539">
        <v>669894</v>
      </c>
      <c r="J99" s="478">
        <f t="shared" ref="J99:J130" si="27">+I99-H99</f>
        <v>0</v>
      </c>
      <c r="K99" s="478"/>
      <c r="L99" s="554">
        <f t="shared" ref="L99:L104" si="28">H99</f>
        <v>669894</v>
      </c>
      <c r="M99" s="477">
        <f t="shared" ref="M99:M130" si="29">IF(L99&lt;&gt;0,+H99-L99,0)</f>
        <v>0</v>
      </c>
      <c r="N99" s="554">
        <f t="shared" ref="N99:N104" si="30">I99</f>
        <v>669894</v>
      </c>
      <c r="O99" s="477">
        <f t="shared" ref="O99:O130" si="31">IF(N99&lt;&gt;0,+I99-N99,0)</f>
        <v>0</v>
      </c>
      <c r="P99" s="477">
        <f t="shared" ref="P99:P130" si="32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12205867</v>
      </c>
      <c r="E100" s="480">
        <v>239846</v>
      </c>
      <c r="F100" s="479">
        <v>11966021</v>
      </c>
      <c r="G100" s="479">
        <v>12085944</v>
      </c>
      <c r="H100" s="480">
        <v>2183449.7644146364</v>
      </c>
      <c r="I100" s="481">
        <v>2183449.7644146364</v>
      </c>
      <c r="J100" s="478">
        <f t="shared" si="27"/>
        <v>0</v>
      </c>
      <c r="K100" s="478"/>
      <c r="L100" s="540">
        <f t="shared" si="28"/>
        <v>2183449.7644146364</v>
      </c>
      <c r="M100" s="541">
        <f t="shared" si="29"/>
        <v>0</v>
      </c>
      <c r="N100" s="540">
        <f t="shared" si="30"/>
        <v>2183449.7644146364</v>
      </c>
      <c r="O100" s="478">
        <f t="shared" si="31"/>
        <v>0</v>
      </c>
      <c r="P100" s="478">
        <f t="shared" si="32"/>
        <v>0</v>
      </c>
    </row>
    <row r="101" spans="1:16">
      <c r="B101" s="160" t="str">
        <f t="shared" ref="B101:B154" si="33">IF(D101=F100,"","IU")</f>
        <v/>
      </c>
      <c r="C101" s="472">
        <f>IF(D93="","-",+C100+1)</f>
        <v>2011</v>
      </c>
      <c r="D101" s="473">
        <v>11966021</v>
      </c>
      <c r="E101" s="480">
        <v>235234</v>
      </c>
      <c r="F101" s="479">
        <v>11730787</v>
      </c>
      <c r="G101" s="479">
        <v>11848404</v>
      </c>
      <c r="H101" s="480">
        <v>1891800.0972614796</v>
      </c>
      <c r="I101" s="481">
        <v>1891800.0972614796</v>
      </c>
      <c r="J101" s="478">
        <f t="shared" si="27"/>
        <v>0</v>
      </c>
      <c r="K101" s="478"/>
      <c r="L101" s="540">
        <f t="shared" si="28"/>
        <v>1891800.0972614796</v>
      </c>
      <c r="M101" s="541">
        <f t="shared" si="29"/>
        <v>0</v>
      </c>
      <c r="N101" s="540">
        <f t="shared" si="30"/>
        <v>1891800.0972614796</v>
      </c>
      <c r="O101" s="478">
        <f t="shared" si="31"/>
        <v>0</v>
      </c>
      <c r="P101" s="478">
        <f t="shared" si="32"/>
        <v>0</v>
      </c>
    </row>
    <row r="102" spans="1:16">
      <c r="B102" s="160" t="str">
        <f t="shared" si="33"/>
        <v/>
      </c>
      <c r="C102" s="472">
        <f>IF(D93="","-",+C101+1)</f>
        <v>2012</v>
      </c>
      <c r="D102" s="473">
        <v>11730787</v>
      </c>
      <c r="E102" s="480">
        <v>235234</v>
      </c>
      <c r="F102" s="479">
        <v>11495553</v>
      </c>
      <c r="G102" s="479">
        <v>11613170</v>
      </c>
      <c r="H102" s="480">
        <v>1905852.1655461292</v>
      </c>
      <c r="I102" s="481">
        <v>1905852.1655461292</v>
      </c>
      <c r="J102" s="478">
        <v>0</v>
      </c>
      <c r="K102" s="478"/>
      <c r="L102" s="540">
        <f t="shared" si="28"/>
        <v>1905852.1655461292</v>
      </c>
      <c r="M102" s="541">
        <f t="shared" ref="M102:M107" si="34">IF(L102&lt;&gt;0,+H102-L102,0)</f>
        <v>0</v>
      </c>
      <c r="N102" s="540">
        <f t="shared" si="30"/>
        <v>1905852.1655461292</v>
      </c>
      <c r="O102" s="478">
        <f t="shared" ref="O102:O107" si="35">IF(N102&lt;&gt;0,+I102-N102,0)</f>
        <v>0</v>
      </c>
      <c r="P102" s="478">
        <f t="shared" ref="P102:P107" si="36">+O102-M102</f>
        <v>0</v>
      </c>
    </row>
    <row r="103" spans="1:16">
      <c r="B103" s="160" t="str">
        <f t="shared" si="33"/>
        <v/>
      </c>
      <c r="C103" s="472">
        <f>IF(D93="","-",+C102+1)</f>
        <v>2013</v>
      </c>
      <c r="D103" s="473">
        <v>11495553</v>
      </c>
      <c r="E103" s="480">
        <v>235234</v>
      </c>
      <c r="F103" s="479">
        <v>11260319</v>
      </c>
      <c r="G103" s="479">
        <v>11377936</v>
      </c>
      <c r="H103" s="480">
        <v>1872969.4877104962</v>
      </c>
      <c r="I103" s="481">
        <v>1872969.4877104962</v>
      </c>
      <c r="J103" s="478">
        <v>0</v>
      </c>
      <c r="K103" s="478"/>
      <c r="L103" s="540">
        <f t="shared" si="28"/>
        <v>1872969.4877104962</v>
      </c>
      <c r="M103" s="541">
        <f t="shared" si="34"/>
        <v>0</v>
      </c>
      <c r="N103" s="540">
        <f t="shared" si="30"/>
        <v>1872969.4877104962</v>
      </c>
      <c r="O103" s="478">
        <f t="shared" si="35"/>
        <v>0</v>
      </c>
      <c r="P103" s="478">
        <f t="shared" si="36"/>
        <v>0</v>
      </c>
    </row>
    <row r="104" spans="1:16">
      <c r="B104" s="160" t="str">
        <f t="shared" si="33"/>
        <v>IU</v>
      </c>
      <c r="C104" s="472">
        <f>IF(D93="","-",+C103+1)</f>
        <v>2014</v>
      </c>
      <c r="D104" s="473">
        <v>10484236</v>
      </c>
      <c r="E104" s="480">
        <v>220309</v>
      </c>
      <c r="F104" s="479">
        <v>10263927</v>
      </c>
      <c r="G104" s="479">
        <v>10374081.5</v>
      </c>
      <c r="H104" s="480">
        <v>1678862.4521722798</v>
      </c>
      <c r="I104" s="481">
        <v>1678862.4521722798</v>
      </c>
      <c r="J104" s="478">
        <v>0</v>
      </c>
      <c r="K104" s="478"/>
      <c r="L104" s="540">
        <f t="shared" si="28"/>
        <v>1678862.4521722798</v>
      </c>
      <c r="M104" s="541">
        <f t="shared" si="34"/>
        <v>0</v>
      </c>
      <c r="N104" s="540">
        <f t="shared" si="30"/>
        <v>1678862.4521722798</v>
      </c>
      <c r="O104" s="478">
        <f t="shared" si="35"/>
        <v>0</v>
      </c>
      <c r="P104" s="478">
        <f t="shared" si="36"/>
        <v>0</v>
      </c>
    </row>
    <row r="105" spans="1:16">
      <c r="B105" s="160" t="str">
        <f t="shared" si="33"/>
        <v/>
      </c>
      <c r="C105" s="472">
        <f>IF(D93="","-",+C104+1)</f>
        <v>2015</v>
      </c>
      <c r="D105" s="473">
        <v>10263927</v>
      </c>
      <c r="E105" s="480">
        <v>220309</v>
      </c>
      <c r="F105" s="479">
        <v>10043618</v>
      </c>
      <c r="G105" s="479">
        <v>10153772.5</v>
      </c>
      <c r="H105" s="480">
        <v>1605709.6172709188</v>
      </c>
      <c r="I105" s="481">
        <v>1605709.6172709188</v>
      </c>
      <c r="J105" s="478">
        <f t="shared" si="27"/>
        <v>0</v>
      </c>
      <c r="K105" s="478"/>
      <c r="L105" s="540">
        <f t="shared" ref="L105:L110" si="37">H105</f>
        <v>1605709.6172709188</v>
      </c>
      <c r="M105" s="541">
        <f t="shared" si="34"/>
        <v>0</v>
      </c>
      <c r="N105" s="540">
        <f t="shared" ref="N105:N110" si="38">I105</f>
        <v>1605709.6172709188</v>
      </c>
      <c r="O105" s="478">
        <f t="shared" si="35"/>
        <v>0</v>
      </c>
      <c r="P105" s="478">
        <f t="shared" si="36"/>
        <v>0</v>
      </c>
    </row>
    <row r="106" spans="1:16">
      <c r="B106" s="160" t="str">
        <f t="shared" si="33"/>
        <v/>
      </c>
      <c r="C106" s="472">
        <f>IF(D93="","-",+C105+1)</f>
        <v>2016</v>
      </c>
      <c r="D106" s="473">
        <v>10043618</v>
      </c>
      <c r="E106" s="480">
        <v>249045</v>
      </c>
      <c r="F106" s="479">
        <v>9794573</v>
      </c>
      <c r="G106" s="479">
        <v>9919095.5</v>
      </c>
      <c r="H106" s="480">
        <v>1527772.6245386968</v>
      </c>
      <c r="I106" s="481">
        <v>1527772.6245386968</v>
      </c>
      <c r="J106" s="478">
        <f t="shared" si="27"/>
        <v>0</v>
      </c>
      <c r="K106" s="478"/>
      <c r="L106" s="540">
        <f t="shared" si="37"/>
        <v>1527772.6245386968</v>
      </c>
      <c r="M106" s="541">
        <f t="shared" si="34"/>
        <v>0</v>
      </c>
      <c r="N106" s="540">
        <f t="shared" si="38"/>
        <v>1527772.6245386968</v>
      </c>
      <c r="O106" s="478">
        <f t="shared" si="35"/>
        <v>0</v>
      </c>
      <c r="P106" s="478">
        <f t="shared" si="36"/>
        <v>0</v>
      </c>
    </row>
    <row r="107" spans="1:16">
      <c r="B107" s="160" t="str">
        <f t="shared" si="33"/>
        <v/>
      </c>
      <c r="C107" s="472">
        <f>IF(D93="","-",+C106+1)</f>
        <v>2017</v>
      </c>
      <c r="D107" s="473">
        <v>9794573</v>
      </c>
      <c r="E107" s="480">
        <v>249045</v>
      </c>
      <c r="F107" s="479">
        <v>9545528</v>
      </c>
      <c r="G107" s="479">
        <v>9670050.5</v>
      </c>
      <c r="H107" s="480">
        <v>1475715.2889659985</v>
      </c>
      <c r="I107" s="481">
        <v>1475715.2889659985</v>
      </c>
      <c r="J107" s="478">
        <f t="shared" si="27"/>
        <v>0</v>
      </c>
      <c r="K107" s="478"/>
      <c r="L107" s="540">
        <f t="shared" si="37"/>
        <v>1475715.2889659985</v>
      </c>
      <c r="M107" s="541">
        <f t="shared" si="34"/>
        <v>0</v>
      </c>
      <c r="N107" s="540">
        <f t="shared" si="38"/>
        <v>1475715.2889659985</v>
      </c>
      <c r="O107" s="478">
        <f t="shared" si="35"/>
        <v>0</v>
      </c>
      <c r="P107" s="478">
        <f t="shared" si="36"/>
        <v>0</v>
      </c>
    </row>
    <row r="108" spans="1:16">
      <c r="B108" s="160" t="str">
        <f t="shared" si="33"/>
        <v/>
      </c>
      <c r="C108" s="472">
        <f>IF(D93="","-",+C107+1)</f>
        <v>2018</v>
      </c>
      <c r="D108" s="473">
        <v>9545528</v>
      </c>
      <c r="E108" s="480">
        <v>266420</v>
      </c>
      <c r="F108" s="479">
        <v>9279108</v>
      </c>
      <c r="G108" s="479">
        <v>9412318</v>
      </c>
      <c r="H108" s="480">
        <v>1233399.824885203</v>
      </c>
      <c r="I108" s="481">
        <v>1233399.824885203</v>
      </c>
      <c r="J108" s="478">
        <f t="shared" si="27"/>
        <v>0</v>
      </c>
      <c r="K108" s="478"/>
      <c r="L108" s="540">
        <f t="shared" si="37"/>
        <v>1233399.824885203</v>
      </c>
      <c r="M108" s="541">
        <f t="shared" ref="M108" si="39">IF(L108&lt;&gt;0,+H108-L108,0)</f>
        <v>0</v>
      </c>
      <c r="N108" s="540">
        <f t="shared" si="38"/>
        <v>1233399.824885203</v>
      </c>
      <c r="O108" s="478">
        <f t="shared" ref="O108" si="40">IF(N108&lt;&gt;0,+I108-N108,0)</f>
        <v>0</v>
      </c>
      <c r="P108" s="478">
        <f t="shared" ref="P108" si="41">+O108-M108</f>
        <v>0</v>
      </c>
    </row>
    <row r="109" spans="1:16">
      <c r="B109" s="160" t="str">
        <f t="shared" si="33"/>
        <v/>
      </c>
      <c r="C109" s="472">
        <f>IF(D93="","-",+C108+1)</f>
        <v>2019</v>
      </c>
      <c r="D109" s="473">
        <v>9279108</v>
      </c>
      <c r="E109" s="480">
        <v>279416</v>
      </c>
      <c r="F109" s="479">
        <v>8999692</v>
      </c>
      <c r="G109" s="479">
        <v>9139400</v>
      </c>
      <c r="H109" s="480">
        <v>1221816.3299613127</v>
      </c>
      <c r="I109" s="481">
        <v>1221816.3299613127</v>
      </c>
      <c r="J109" s="478">
        <f t="shared" si="27"/>
        <v>0</v>
      </c>
      <c r="K109" s="478"/>
      <c r="L109" s="540">
        <f t="shared" si="37"/>
        <v>1221816.3299613127</v>
      </c>
      <c r="M109" s="541">
        <f t="shared" ref="M109" si="42">IF(L109&lt;&gt;0,+H109-L109,0)</f>
        <v>0</v>
      </c>
      <c r="N109" s="540">
        <f t="shared" si="38"/>
        <v>1221816.3299613127</v>
      </c>
      <c r="O109" s="478">
        <f t="shared" si="31"/>
        <v>0</v>
      </c>
      <c r="P109" s="478">
        <f t="shared" si="32"/>
        <v>0</v>
      </c>
    </row>
    <row r="110" spans="1:16">
      <c r="B110" s="160" t="str">
        <f t="shared" si="33"/>
        <v/>
      </c>
      <c r="C110" s="472">
        <f>IF(D93="","-",+C109+1)</f>
        <v>2020</v>
      </c>
      <c r="D110" s="473">
        <v>8999692</v>
      </c>
      <c r="E110" s="480">
        <v>266420</v>
      </c>
      <c r="F110" s="479">
        <v>8733272</v>
      </c>
      <c r="G110" s="479">
        <v>8866482</v>
      </c>
      <c r="H110" s="480">
        <v>1288700.9982176959</v>
      </c>
      <c r="I110" s="481">
        <v>1288700.9982176959</v>
      </c>
      <c r="J110" s="478">
        <f t="shared" si="27"/>
        <v>0</v>
      </c>
      <c r="K110" s="478"/>
      <c r="L110" s="540">
        <f t="shared" si="37"/>
        <v>1288700.9982176959</v>
      </c>
      <c r="M110" s="541">
        <f t="shared" ref="M110" si="43">IF(L110&lt;&gt;0,+H110-L110,0)</f>
        <v>0</v>
      </c>
      <c r="N110" s="540">
        <f t="shared" si="38"/>
        <v>1288700.9982176959</v>
      </c>
      <c r="O110" s="478">
        <f t="shared" si="31"/>
        <v>0</v>
      </c>
      <c r="P110" s="478">
        <f t="shared" si="32"/>
        <v>0</v>
      </c>
    </row>
    <row r="111" spans="1:16">
      <c r="B111" s="160" t="str">
        <f t="shared" si="33"/>
        <v/>
      </c>
      <c r="C111" s="472">
        <f>IF(D93="","-",+C110+1)</f>
        <v>2021</v>
      </c>
      <c r="D111" s="473">
        <v>8733272</v>
      </c>
      <c r="E111" s="480">
        <v>279416</v>
      </c>
      <c r="F111" s="479">
        <v>8453856</v>
      </c>
      <c r="G111" s="479">
        <v>8593564</v>
      </c>
      <c r="H111" s="480">
        <v>1257301.6496546383</v>
      </c>
      <c r="I111" s="481">
        <v>1257301.6496546383</v>
      </c>
      <c r="J111" s="478">
        <f t="shared" si="27"/>
        <v>0</v>
      </c>
      <c r="K111" s="478"/>
      <c r="L111" s="540">
        <f t="shared" ref="L111" si="44">H111</f>
        <v>1257301.6496546383</v>
      </c>
      <c r="M111" s="541">
        <f t="shared" ref="M111" si="45">IF(L111&lt;&gt;0,+H111-L111,0)</f>
        <v>0</v>
      </c>
      <c r="N111" s="540">
        <f t="shared" ref="N111" si="46">I111</f>
        <v>1257301.6496546383</v>
      </c>
      <c r="O111" s="478">
        <f t="shared" si="31"/>
        <v>0</v>
      </c>
      <c r="P111" s="478">
        <f t="shared" si="32"/>
        <v>0</v>
      </c>
    </row>
    <row r="112" spans="1:16">
      <c r="B112" s="160" t="str">
        <f t="shared" si="33"/>
        <v/>
      </c>
      <c r="C112" s="472">
        <f>IF(D93="","-",+C111+1)</f>
        <v>2022</v>
      </c>
      <c r="D112" s="347">
        <f>IF(F111+SUM(E$99:E111)=D$92,F111,D$92-SUM(E$99:E111))</f>
        <v>8453856</v>
      </c>
      <c r="E112" s="486">
        <f>IF(+J96&lt;F111,J96,D112)</f>
        <v>293745</v>
      </c>
      <c r="F112" s="485">
        <f t="shared" ref="F112:F130" si="47">+D112-E112</f>
        <v>8160111</v>
      </c>
      <c r="G112" s="485">
        <f t="shared" ref="G112:G130" si="48">+(F112+D112)/2</f>
        <v>8306983.5</v>
      </c>
      <c r="H112" s="486">
        <f t="shared" ref="H112:H154" si="49">(D112+F112)/2*J$94+E112</f>
        <v>1209030.4794242503</v>
      </c>
      <c r="I112" s="542">
        <f t="shared" ref="I112:I154" si="50">+J$95*G112+E112</f>
        <v>1209030.4794242503</v>
      </c>
      <c r="J112" s="478">
        <f t="shared" si="27"/>
        <v>0</v>
      </c>
      <c r="K112" s="478"/>
      <c r="L112" s="487"/>
      <c r="M112" s="478">
        <f t="shared" si="29"/>
        <v>0</v>
      </c>
      <c r="N112" s="487"/>
      <c r="O112" s="478">
        <f t="shared" si="31"/>
        <v>0</v>
      </c>
      <c r="P112" s="478">
        <f t="shared" si="32"/>
        <v>0</v>
      </c>
    </row>
    <row r="113" spans="2:16">
      <c r="B113" s="160" t="str">
        <f t="shared" si="33"/>
        <v/>
      </c>
      <c r="C113" s="472">
        <f>IF(D93="","-",+C112+1)</f>
        <v>2023</v>
      </c>
      <c r="D113" s="347">
        <f>IF(F112+SUM(E$99:E112)=D$92,F112,D$92-SUM(E$99:E112))</f>
        <v>8160111</v>
      </c>
      <c r="E113" s="486">
        <f>IF(+J96&lt;F112,J96,D113)</f>
        <v>293745</v>
      </c>
      <c r="F113" s="485">
        <f t="shared" si="47"/>
        <v>7866366</v>
      </c>
      <c r="G113" s="485">
        <f t="shared" si="48"/>
        <v>8013238.5</v>
      </c>
      <c r="H113" s="486">
        <f t="shared" si="49"/>
        <v>1176664.8760552926</v>
      </c>
      <c r="I113" s="542">
        <f t="shared" si="50"/>
        <v>1176664.8760552926</v>
      </c>
      <c r="J113" s="478">
        <f t="shared" si="27"/>
        <v>0</v>
      </c>
      <c r="K113" s="478"/>
      <c r="L113" s="487"/>
      <c r="M113" s="478">
        <f t="shared" si="29"/>
        <v>0</v>
      </c>
      <c r="N113" s="487"/>
      <c r="O113" s="478">
        <f t="shared" si="31"/>
        <v>0</v>
      </c>
      <c r="P113" s="478">
        <f t="shared" si="32"/>
        <v>0</v>
      </c>
    </row>
    <row r="114" spans="2:16">
      <c r="B114" s="160" t="str">
        <f t="shared" si="33"/>
        <v/>
      </c>
      <c r="C114" s="472">
        <f>IF(D93="","-",+C113+1)</f>
        <v>2024</v>
      </c>
      <c r="D114" s="347">
        <f>IF(F113+SUM(E$99:E113)=D$92,F113,D$92-SUM(E$99:E113))</f>
        <v>7866366</v>
      </c>
      <c r="E114" s="486">
        <f>IF(+J96&lt;F113,J96,D114)</f>
        <v>293745</v>
      </c>
      <c r="F114" s="485">
        <f t="shared" si="47"/>
        <v>7572621</v>
      </c>
      <c r="G114" s="485">
        <f t="shared" si="48"/>
        <v>7719493.5</v>
      </c>
      <c r="H114" s="486">
        <f t="shared" si="49"/>
        <v>1144299.2726863348</v>
      </c>
      <c r="I114" s="542">
        <f t="shared" si="50"/>
        <v>1144299.2726863348</v>
      </c>
      <c r="J114" s="478">
        <f t="shared" si="27"/>
        <v>0</v>
      </c>
      <c r="K114" s="478"/>
      <c r="L114" s="487"/>
      <c r="M114" s="478">
        <f t="shared" si="29"/>
        <v>0</v>
      </c>
      <c r="N114" s="487"/>
      <c r="O114" s="478">
        <f t="shared" si="31"/>
        <v>0</v>
      </c>
      <c r="P114" s="478">
        <f t="shared" si="32"/>
        <v>0</v>
      </c>
    </row>
    <row r="115" spans="2:16">
      <c r="B115" s="160" t="str">
        <f t="shared" si="33"/>
        <v/>
      </c>
      <c r="C115" s="472">
        <f>IF(D93="","-",+C114+1)</f>
        <v>2025</v>
      </c>
      <c r="D115" s="347">
        <f>IF(F114+SUM(E$99:E114)=D$92,F114,D$92-SUM(E$99:E114))</f>
        <v>7572621</v>
      </c>
      <c r="E115" s="486">
        <f>IF(+J96&lt;F114,J96,D115)</f>
        <v>293745</v>
      </c>
      <c r="F115" s="485">
        <f t="shared" si="47"/>
        <v>7278876</v>
      </c>
      <c r="G115" s="485">
        <f t="shared" si="48"/>
        <v>7425748.5</v>
      </c>
      <c r="H115" s="486">
        <f t="shared" si="49"/>
        <v>1111933.669317377</v>
      </c>
      <c r="I115" s="542">
        <f t="shared" si="50"/>
        <v>1111933.669317377</v>
      </c>
      <c r="J115" s="478">
        <f t="shared" si="27"/>
        <v>0</v>
      </c>
      <c r="K115" s="478"/>
      <c r="L115" s="487"/>
      <c r="M115" s="478">
        <f t="shared" si="29"/>
        <v>0</v>
      </c>
      <c r="N115" s="487"/>
      <c r="O115" s="478">
        <f t="shared" si="31"/>
        <v>0</v>
      </c>
      <c r="P115" s="478">
        <f t="shared" si="32"/>
        <v>0</v>
      </c>
    </row>
    <row r="116" spans="2:16">
      <c r="B116" s="160" t="str">
        <f t="shared" si="33"/>
        <v/>
      </c>
      <c r="C116" s="472">
        <f>IF(D93="","-",+C115+1)</f>
        <v>2026</v>
      </c>
      <c r="D116" s="347">
        <f>IF(F115+SUM(E$99:E115)=D$92,F115,D$92-SUM(E$99:E115))</f>
        <v>7278876</v>
      </c>
      <c r="E116" s="486">
        <f>IF(+J96&lt;F115,J96,D116)</f>
        <v>293745</v>
      </c>
      <c r="F116" s="485">
        <f t="shared" si="47"/>
        <v>6985131</v>
      </c>
      <c r="G116" s="485">
        <f t="shared" si="48"/>
        <v>7132003.5</v>
      </c>
      <c r="H116" s="486">
        <f t="shared" si="49"/>
        <v>1079568.0659484193</v>
      </c>
      <c r="I116" s="542">
        <f t="shared" si="50"/>
        <v>1079568.0659484193</v>
      </c>
      <c r="J116" s="478">
        <f t="shared" si="27"/>
        <v>0</v>
      </c>
      <c r="K116" s="478"/>
      <c r="L116" s="487"/>
      <c r="M116" s="478">
        <f t="shared" si="29"/>
        <v>0</v>
      </c>
      <c r="N116" s="487"/>
      <c r="O116" s="478">
        <f t="shared" si="31"/>
        <v>0</v>
      </c>
      <c r="P116" s="478">
        <f t="shared" si="32"/>
        <v>0</v>
      </c>
    </row>
    <row r="117" spans="2:16">
      <c r="B117" s="160" t="str">
        <f t="shared" si="33"/>
        <v/>
      </c>
      <c r="C117" s="472">
        <f>IF(D93="","-",+C116+1)</f>
        <v>2027</v>
      </c>
      <c r="D117" s="347">
        <f>IF(F116+SUM(E$99:E116)=D$92,F116,D$92-SUM(E$99:E116))</f>
        <v>6985131</v>
      </c>
      <c r="E117" s="486">
        <f>IF(+J96&lt;F116,J96,D117)</f>
        <v>293745</v>
      </c>
      <c r="F117" s="485">
        <f t="shared" si="47"/>
        <v>6691386</v>
      </c>
      <c r="G117" s="485">
        <f t="shared" si="48"/>
        <v>6838258.5</v>
      </c>
      <c r="H117" s="486">
        <f t="shared" si="49"/>
        <v>1047202.4625794615</v>
      </c>
      <c r="I117" s="542">
        <f t="shared" si="50"/>
        <v>1047202.4625794615</v>
      </c>
      <c r="J117" s="478">
        <f t="shared" si="27"/>
        <v>0</v>
      </c>
      <c r="K117" s="478"/>
      <c r="L117" s="487"/>
      <c r="M117" s="478">
        <f t="shared" si="29"/>
        <v>0</v>
      </c>
      <c r="N117" s="487"/>
      <c r="O117" s="478">
        <f t="shared" si="31"/>
        <v>0</v>
      </c>
      <c r="P117" s="478">
        <f t="shared" si="32"/>
        <v>0</v>
      </c>
    </row>
    <row r="118" spans="2:16">
      <c r="B118" s="160" t="str">
        <f t="shared" si="33"/>
        <v/>
      </c>
      <c r="C118" s="472">
        <f>IF(D93="","-",+C117+1)</f>
        <v>2028</v>
      </c>
      <c r="D118" s="347">
        <f>IF(F117+SUM(E$99:E117)=D$92,F117,D$92-SUM(E$99:E117))</f>
        <v>6691386</v>
      </c>
      <c r="E118" s="486">
        <f>IF(+J96&lt;F117,J96,D118)</f>
        <v>293745</v>
      </c>
      <c r="F118" s="485">
        <f t="shared" si="47"/>
        <v>6397641</v>
      </c>
      <c r="G118" s="485">
        <f t="shared" si="48"/>
        <v>6544513.5</v>
      </c>
      <c r="H118" s="486">
        <f t="shared" si="49"/>
        <v>1014836.8592105039</v>
      </c>
      <c r="I118" s="542">
        <f t="shared" si="50"/>
        <v>1014836.8592105039</v>
      </c>
      <c r="J118" s="478">
        <f t="shared" si="27"/>
        <v>0</v>
      </c>
      <c r="K118" s="478"/>
      <c r="L118" s="487"/>
      <c r="M118" s="478">
        <f t="shared" si="29"/>
        <v>0</v>
      </c>
      <c r="N118" s="487"/>
      <c r="O118" s="478">
        <f t="shared" si="31"/>
        <v>0</v>
      </c>
      <c r="P118" s="478">
        <f t="shared" si="32"/>
        <v>0</v>
      </c>
    </row>
    <row r="119" spans="2:16">
      <c r="B119" s="160" t="str">
        <f t="shared" si="33"/>
        <v/>
      </c>
      <c r="C119" s="472">
        <f>IF(D93="","-",+C118+1)</f>
        <v>2029</v>
      </c>
      <c r="D119" s="347">
        <f>IF(F118+SUM(E$99:E118)=D$92,F118,D$92-SUM(E$99:E118))</f>
        <v>6397641</v>
      </c>
      <c r="E119" s="486">
        <f>IF(+J96&lt;F118,J96,D119)</f>
        <v>293745</v>
      </c>
      <c r="F119" s="485">
        <f t="shared" si="47"/>
        <v>6103896</v>
      </c>
      <c r="G119" s="485">
        <f t="shared" si="48"/>
        <v>6250768.5</v>
      </c>
      <c r="H119" s="486">
        <f t="shared" si="49"/>
        <v>982471.25584154611</v>
      </c>
      <c r="I119" s="542">
        <f t="shared" si="50"/>
        <v>982471.25584154611</v>
      </c>
      <c r="J119" s="478">
        <f t="shared" si="27"/>
        <v>0</v>
      </c>
      <c r="K119" s="478"/>
      <c r="L119" s="487"/>
      <c r="M119" s="478">
        <f t="shared" si="29"/>
        <v>0</v>
      </c>
      <c r="N119" s="487"/>
      <c r="O119" s="478">
        <f t="shared" si="31"/>
        <v>0</v>
      </c>
      <c r="P119" s="478">
        <f t="shared" si="32"/>
        <v>0</v>
      </c>
    </row>
    <row r="120" spans="2:16">
      <c r="B120" s="160" t="str">
        <f t="shared" si="33"/>
        <v/>
      </c>
      <c r="C120" s="472">
        <f>IF(D93="","-",+C119+1)</f>
        <v>2030</v>
      </c>
      <c r="D120" s="347">
        <f>IF(F119+SUM(E$99:E119)=D$92,F119,D$92-SUM(E$99:E119))</f>
        <v>6103896</v>
      </c>
      <c r="E120" s="486">
        <f>IF(+J96&lt;F119,J96,D120)</f>
        <v>293745</v>
      </c>
      <c r="F120" s="485">
        <f t="shared" si="47"/>
        <v>5810151</v>
      </c>
      <c r="G120" s="485">
        <f t="shared" si="48"/>
        <v>5957023.5</v>
      </c>
      <c r="H120" s="486">
        <f t="shared" si="49"/>
        <v>950105.65247258835</v>
      </c>
      <c r="I120" s="542">
        <f t="shared" si="50"/>
        <v>950105.65247258835</v>
      </c>
      <c r="J120" s="478">
        <f t="shared" si="27"/>
        <v>0</v>
      </c>
      <c r="K120" s="478"/>
      <c r="L120" s="487"/>
      <c r="M120" s="478">
        <f t="shared" si="29"/>
        <v>0</v>
      </c>
      <c r="N120" s="487"/>
      <c r="O120" s="478">
        <f t="shared" si="31"/>
        <v>0</v>
      </c>
      <c r="P120" s="478">
        <f t="shared" si="32"/>
        <v>0</v>
      </c>
    </row>
    <row r="121" spans="2:16">
      <c r="B121" s="160" t="str">
        <f t="shared" si="33"/>
        <v/>
      </c>
      <c r="C121" s="472">
        <f>IF(D93="","-",+C120+1)</f>
        <v>2031</v>
      </c>
      <c r="D121" s="347">
        <f>IF(F120+SUM(E$99:E120)=D$92,F120,D$92-SUM(E$99:E120))</f>
        <v>5810151</v>
      </c>
      <c r="E121" s="486">
        <f>IF(+J96&lt;F120,J96,D121)</f>
        <v>293745</v>
      </c>
      <c r="F121" s="485">
        <f t="shared" si="47"/>
        <v>5516406</v>
      </c>
      <c r="G121" s="485">
        <f t="shared" si="48"/>
        <v>5663278.5</v>
      </c>
      <c r="H121" s="486">
        <f t="shared" si="49"/>
        <v>917740.04910363059</v>
      </c>
      <c r="I121" s="542">
        <f t="shared" si="50"/>
        <v>917740.04910363059</v>
      </c>
      <c r="J121" s="478">
        <f t="shared" si="27"/>
        <v>0</v>
      </c>
      <c r="K121" s="478"/>
      <c r="L121" s="487"/>
      <c r="M121" s="478">
        <f t="shared" si="29"/>
        <v>0</v>
      </c>
      <c r="N121" s="487"/>
      <c r="O121" s="478">
        <f t="shared" si="31"/>
        <v>0</v>
      </c>
      <c r="P121" s="478">
        <f t="shared" si="32"/>
        <v>0</v>
      </c>
    </row>
    <row r="122" spans="2:16">
      <c r="B122" s="160" t="str">
        <f t="shared" si="33"/>
        <v/>
      </c>
      <c r="C122" s="472">
        <f>IF(D93="","-",+C121+1)</f>
        <v>2032</v>
      </c>
      <c r="D122" s="347">
        <f>IF(F121+SUM(E$99:E121)=D$92,F121,D$92-SUM(E$99:E121))</f>
        <v>5516406</v>
      </c>
      <c r="E122" s="486">
        <f>IF(+J96&lt;F121,J96,D122)</f>
        <v>293745</v>
      </c>
      <c r="F122" s="485">
        <f t="shared" si="47"/>
        <v>5222661</v>
      </c>
      <c r="G122" s="485">
        <f t="shared" si="48"/>
        <v>5369533.5</v>
      </c>
      <c r="H122" s="486">
        <f t="shared" si="49"/>
        <v>885374.44573467283</v>
      </c>
      <c r="I122" s="542">
        <f t="shared" si="50"/>
        <v>885374.44573467283</v>
      </c>
      <c r="J122" s="478">
        <f t="shared" si="27"/>
        <v>0</v>
      </c>
      <c r="K122" s="478"/>
      <c r="L122" s="487"/>
      <c r="M122" s="478">
        <f t="shared" si="29"/>
        <v>0</v>
      </c>
      <c r="N122" s="487"/>
      <c r="O122" s="478">
        <f t="shared" si="31"/>
        <v>0</v>
      </c>
      <c r="P122" s="478">
        <f t="shared" si="32"/>
        <v>0</v>
      </c>
    </row>
    <row r="123" spans="2:16">
      <c r="B123" s="160" t="str">
        <f t="shared" si="33"/>
        <v/>
      </c>
      <c r="C123" s="472">
        <f>IF(D93="","-",+C122+1)</f>
        <v>2033</v>
      </c>
      <c r="D123" s="347">
        <f>IF(F122+SUM(E$99:E122)=D$92,F122,D$92-SUM(E$99:E122))</f>
        <v>5222661</v>
      </c>
      <c r="E123" s="486">
        <f>IF(+J96&lt;F122,J96,D123)</f>
        <v>293745</v>
      </c>
      <c r="F123" s="485">
        <f t="shared" si="47"/>
        <v>4928916</v>
      </c>
      <c r="G123" s="485">
        <f t="shared" si="48"/>
        <v>5075788.5</v>
      </c>
      <c r="H123" s="486">
        <f t="shared" si="49"/>
        <v>853008.84236571507</v>
      </c>
      <c r="I123" s="542">
        <f t="shared" si="50"/>
        <v>853008.84236571507</v>
      </c>
      <c r="J123" s="478">
        <f t="shared" si="27"/>
        <v>0</v>
      </c>
      <c r="K123" s="478"/>
      <c r="L123" s="487"/>
      <c r="M123" s="478">
        <f t="shared" si="29"/>
        <v>0</v>
      </c>
      <c r="N123" s="487"/>
      <c r="O123" s="478">
        <f t="shared" si="31"/>
        <v>0</v>
      </c>
      <c r="P123" s="478">
        <f t="shared" si="32"/>
        <v>0</v>
      </c>
    </row>
    <row r="124" spans="2:16">
      <c r="B124" s="160" t="str">
        <f t="shared" si="33"/>
        <v/>
      </c>
      <c r="C124" s="472">
        <f>IF(D93="","-",+C123+1)</f>
        <v>2034</v>
      </c>
      <c r="D124" s="347">
        <f>IF(F123+SUM(E$99:E123)=D$92,F123,D$92-SUM(E$99:E123))</f>
        <v>4928916</v>
      </c>
      <c r="E124" s="486">
        <f>IF(+J96&lt;F123,J96,D124)</f>
        <v>293745</v>
      </c>
      <c r="F124" s="485">
        <f t="shared" si="47"/>
        <v>4635171</v>
      </c>
      <c r="G124" s="485">
        <f t="shared" si="48"/>
        <v>4782043.5</v>
      </c>
      <c r="H124" s="486">
        <f t="shared" si="49"/>
        <v>820643.23899675731</v>
      </c>
      <c r="I124" s="542">
        <f t="shared" si="50"/>
        <v>820643.23899675731</v>
      </c>
      <c r="J124" s="478">
        <f t="shared" si="27"/>
        <v>0</v>
      </c>
      <c r="K124" s="478"/>
      <c r="L124" s="487"/>
      <c r="M124" s="478">
        <f t="shared" si="29"/>
        <v>0</v>
      </c>
      <c r="N124" s="487"/>
      <c r="O124" s="478">
        <f t="shared" si="31"/>
        <v>0</v>
      </c>
      <c r="P124" s="478">
        <f t="shared" si="32"/>
        <v>0</v>
      </c>
    </row>
    <row r="125" spans="2:16">
      <c r="B125" s="160" t="str">
        <f t="shared" si="33"/>
        <v/>
      </c>
      <c r="C125" s="472">
        <f>IF(D93="","-",+C124+1)</f>
        <v>2035</v>
      </c>
      <c r="D125" s="347">
        <f>IF(F124+SUM(E$99:E124)=D$92,F124,D$92-SUM(E$99:E124))</f>
        <v>4635171</v>
      </c>
      <c r="E125" s="486">
        <f>IF(+J96&lt;F124,J96,D125)</f>
        <v>293745</v>
      </c>
      <c r="F125" s="485">
        <f t="shared" si="47"/>
        <v>4341426</v>
      </c>
      <c r="G125" s="485">
        <f t="shared" si="48"/>
        <v>4488298.5</v>
      </c>
      <c r="H125" s="486">
        <f t="shared" si="49"/>
        <v>788277.63562779967</v>
      </c>
      <c r="I125" s="542">
        <f t="shared" si="50"/>
        <v>788277.63562779967</v>
      </c>
      <c r="J125" s="478">
        <f t="shared" si="27"/>
        <v>0</v>
      </c>
      <c r="K125" s="478"/>
      <c r="L125" s="487"/>
      <c r="M125" s="478">
        <f t="shared" si="29"/>
        <v>0</v>
      </c>
      <c r="N125" s="487"/>
      <c r="O125" s="478">
        <f t="shared" si="31"/>
        <v>0</v>
      </c>
      <c r="P125" s="478">
        <f t="shared" si="32"/>
        <v>0</v>
      </c>
    </row>
    <row r="126" spans="2:16">
      <c r="B126" s="160" t="str">
        <f t="shared" si="33"/>
        <v/>
      </c>
      <c r="C126" s="472">
        <f>IF(D93="","-",+C125+1)</f>
        <v>2036</v>
      </c>
      <c r="D126" s="347">
        <f>IF(F125+SUM(E$99:E125)=D$92,F125,D$92-SUM(E$99:E125))</f>
        <v>4341426</v>
      </c>
      <c r="E126" s="486">
        <f>IF(+J96&lt;F125,J96,D126)</f>
        <v>293745</v>
      </c>
      <c r="F126" s="485">
        <f t="shared" si="47"/>
        <v>4047681</v>
      </c>
      <c r="G126" s="485">
        <f t="shared" si="48"/>
        <v>4194553.5</v>
      </c>
      <c r="H126" s="486">
        <f t="shared" si="49"/>
        <v>755912.03225884191</v>
      </c>
      <c r="I126" s="542">
        <f t="shared" si="50"/>
        <v>755912.03225884191</v>
      </c>
      <c r="J126" s="478">
        <f t="shared" si="27"/>
        <v>0</v>
      </c>
      <c r="K126" s="478"/>
      <c r="L126" s="487"/>
      <c r="M126" s="478">
        <f t="shared" si="29"/>
        <v>0</v>
      </c>
      <c r="N126" s="487"/>
      <c r="O126" s="478">
        <f t="shared" si="31"/>
        <v>0</v>
      </c>
      <c r="P126" s="478">
        <f t="shared" si="32"/>
        <v>0</v>
      </c>
    </row>
    <row r="127" spans="2:16">
      <c r="B127" s="160" t="str">
        <f t="shared" si="33"/>
        <v/>
      </c>
      <c r="C127" s="472">
        <f>IF(D93="","-",+C126+1)</f>
        <v>2037</v>
      </c>
      <c r="D127" s="347">
        <f>IF(F126+SUM(E$99:E126)=D$92,F126,D$92-SUM(E$99:E126))</f>
        <v>4047681</v>
      </c>
      <c r="E127" s="486">
        <f>IF(+J96&lt;F126,J96,D127)</f>
        <v>293745</v>
      </c>
      <c r="F127" s="485">
        <f t="shared" si="47"/>
        <v>3753936</v>
      </c>
      <c r="G127" s="485">
        <f t="shared" si="48"/>
        <v>3900808.5</v>
      </c>
      <c r="H127" s="486">
        <f t="shared" si="49"/>
        <v>723546.42888988415</v>
      </c>
      <c r="I127" s="542">
        <f t="shared" si="50"/>
        <v>723546.42888988415</v>
      </c>
      <c r="J127" s="478">
        <f t="shared" si="27"/>
        <v>0</v>
      </c>
      <c r="K127" s="478"/>
      <c r="L127" s="487"/>
      <c r="M127" s="478">
        <f t="shared" si="29"/>
        <v>0</v>
      </c>
      <c r="N127" s="487"/>
      <c r="O127" s="478">
        <f t="shared" si="31"/>
        <v>0</v>
      </c>
      <c r="P127" s="478">
        <f t="shared" si="32"/>
        <v>0</v>
      </c>
    </row>
    <row r="128" spans="2:16">
      <c r="B128" s="160" t="str">
        <f t="shared" si="33"/>
        <v/>
      </c>
      <c r="C128" s="472">
        <f>IF(D93="","-",+C127+1)</f>
        <v>2038</v>
      </c>
      <c r="D128" s="347">
        <f>IF(F127+SUM(E$99:E127)=D$92,F127,D$92-SUM(E$99:E127))</f>
        <v>3753936</v>
      </c>
      <c r="E128" s="486">
        <f>IF(+J96&lt;F127,J96,D128)</f>
        <v>293745</v>
      </c>
      <c r="F128" s="485">
        <f t="shared" si="47"/>
        <v>3460191</v>
      </c>
      <c r="G128" s="485">
        <f t="shared" si="48"/>
        <v>3607063.5</v>
      </c>
      <c r="H128" s="486">
        <f t="shared" si="49"/>
        <v>691180.82552092639</v>
      </c>
      <c r="I128" s="542">
        <f t="shared" si="50"/>
        <v>691180.82552092639</v>
      </c>
      <c r="J128" s="478">
        <f t="shared" si="27"/>
        <v>0</v>
      </c>
      <c r="K128" s="478"/>
      <c r="L128" s="487"/>
      <c r="M128" s="478">
        <f t="shared" si="29"/>
        <v>0</v>
      </c>
      <c r="N128" s="487"/>
      <c r="O128" s="478">
        <f t="shared" si="31"/>
        <v>0</v>
      </c>
      <c r="P128" s="478">
        <f t="shared" si="32"/>
        <v>0</v>
      </c>
    </row>
    <row r="129" spans="2:16">
      <c r="B129" s="160" t="str">
        <f t="shared" si="33"/>
        <v/>
      </c>
      <c r="C129" s="472">
        <f>IF(D93="","-",+C128+1)</f>
        <v>2039</v>
      </c>
      <c r="D129" s="347">
        <f>IF(F128+SUM(E$99:E128)=D$92,F128,D$92-SUM(E$99:E128))</f>
        <v>3460191</v>
      </c>
      <c r="E129" s="486">
        <f>IF(+J96&lt;F128,J96,D129)</f>
        <v>293745</v>
      </c>
      <c r="F129" s="485">
        <f t="shared" si="47"/>
        <v>3166446</v>
      </c>
      <c r="G129" s="485">
        <f t="shared" si="48"/>
        <v>3313318.5</v>
      </c>
      <c r="H129" s="486">
        <f t="shared" si="49"/>
        <v>658815.22215196863</v>
      </c>
      <c r="I129" s="542">
        <f t="shared" si="50"/>
        <v>658815.22215196863</v>
      </c>
      <c r="J129" s="478">
        <f t="shared" si="27"/>
        <v>0</v>
      </c>
      <c r="K129" s="478"/>
      <c r="L129" s="487"/>
      <c r="M129" s="478">
        <f t="shared" si="29"/>
        <v>0</v>
      </c>
      <c r="N129" s="487"/>
      <c r="O129" s="478">
        <f t="shared" si="31"/>
        <v>0</v>
      </c>
      <c r="P129" s="478">
        <f t="shared" si="32"/>
        <v>0</v>
      </c>
    </row>
    <row r="130" spans="2:16">
      <c r="B130" s="160" t="str">
        <f t="shared" si="33"/>
        <v/>
      </c>
      <c r="C130" s="472">
        <f>IF(D93="","-",+C129+1)</f>
        <v>2040</v>
      </c>
      <c r="D130" s="347">
        <f>IF(F129+SUM(E$99:E129)=D$92,F129,D$92-SUM(E$99:E129))</f>
        <v>3166446</v>
      </c>
      <c r="E130" s="486">
        <f>IF(+J96&lt;F129,J96,D130)</f>
        <v>293745</v>
      </c>
      <c r="F130" s="485">
        <f t="shared" si="47"/>
        <v>2872701</v>
      </c>
      <c r="G130" s="485">
        <f t="shared" si="48"/>
        <v>3019573.5</v>
      </c>
      <c r="H130" s="486">
        <f t="shared" si="49"/>
        <v>626449.61878301087</v>
      </c>
      <c r="I130" s="542">
        <f t="shared" si="50"/>
        <v>626449.61878301087</v>
      </c>
      <c r="J130" s="478">
        <f t="shared" si="27"/>
        <v>0</v>
      </c>
      <c r="K130" s="478"/>
      <c r="L130" s="487"/>
      <c r="M130" s="478">
        <f t="shared" si="29"/>
        <v>0</v>
      </c>
      <c r="N130" s="487"/>
      <c r="O130" s="478">
        <f t="shared" si="31"/>
        <v>0</v>
      </c>
      <c r="P130" s="478">
        <f t="shared" si="32"/>
        <v>0</v>
      </c>
    </row>
    <row r="131" spans="2:16">
      <c r="B131" s="160" t="str">
        <f t="shared" si="33"/>
        <v/>
      </c>
      <c r="C131" s="472">
        <f>IF(D93="","-",+C130+1)</f>
        <v>2041</v>
      </c>
      <c r="D131" s="347">
        <f>IF(F130+SUM(E$99:E130)=D$92,F130,D$92-SUM(E$99:E130))</f>
        <v>2872701</v>
      </c>
      <c r="E131" s="486">
        <f>IF(+J96&lt;F130,J96,D131)</f>
        <v>293745</v>
      </c>
      <c r="F131" s="485">
        <f t="shared" ref="F131:F154" si="51">+D131-E131</f>
        <v>2578956</v>
      </c>
      <c r="G131" s="485">
        <f t="shared" ref="G131:G154" si="52">+(F131+D131)/2</f>
        <v>2725828.5</v>
      </c>
      <c r="H131" s="486">
        <f t="shared" si="49"/>
        <v>594084.01541405311</v>
      </c>
      <c r="I131" s="542">
        <f t="shared" si="50"/>
        <v>594084.01541405311</v>
      </c>
      <c r="J131" s="478">
        <f t="shared" ref="J131:J154" si="53">+I131-H131</f>
        <v>0</v>
      </c>
      <c r="K131" s="478"/>
      <c r="L131" s="487"/>
      <c r="M131" s="478">
        <f t="shared" ref="M131:M154" si="54">IF(L131&lt;&gt;0,+H131-L131,0)</f>
        <v>0</v>
      </c>
      <c r="N131" s="487"/>
      <c r="O131" s="478">
        <f t="shared" ref="O131:O154" si="55">IF(N131&lt;&gt;0,+I131-N131,0)</f>
        <v>0</v>
      </c>
      <c r="P131" s="478">
        <f t="shared" ref="P131:P154" si="56">+O131-M131</f>
        <v>0</v>
      </c>
    </row>
    <row r="132" spans="2:16">
      <c r="B132" s="160" t="str">
        <f t="shared" si="33"/>
        <v/>
      </c>
      <c r="C132" s="472">
        <f>IF(D93="","-",+C131+1)</f>
        <v>2042</v>
      </c>
      <c r="D132" s="347">
        <f>IF(F131+SUM(E$99:E131)=D$92,F131,D$92-SUM(E$99:E131))</f>
        <v>2578956</v>
      </c>
      <c r="E132" s="486">
        <f>IF(+J96&lt;F131,J96,D132)</f>
        <v>293745</v>
      </c>
      <c r="F132" s="485">
        <f t="shared" si="51"/>
        <v>2285211</v>
      </c>
      <c r="G132" s="485">
        <f t="shared" si="52"/>
        <v>2432083.5</v>
      </c>
      <c r="H132" s="486">
        <f t="shared" si="49"/>
        <v>561718.41204509535</v>
      </c>
      <c r="I132" s="542">
        <f t="shared" si="50"/>
        <v>561718.41204509535</v>
      </c>
      <c r="J132" s="478">
        <f t="shared" si="53"/>
        <v>0</v>
      </c>
      <c r="K132" s="478"/>
      <c r="L132" s="487"/>
      <c r="M132" s="478">
        <f t="shared" si="54"/>
        <v>0</v>
      </c>
      <c r="N132" s="487"/>
      <c r="O132" s="478">
        <f t="shared" si="55"/>
        <v>0</v>
      </c>
      <c r="P132" s="478">
        <f t="shared" si="56"/>
        <v>0</v>
      </c>
    </row>
    <row r="133" spans="2:16">
      <c r="B133" s="160" t="str">
        <f t="shared" si="33"/>
        <v/>
      </c>
      <c r="C133" s="472">
        <f>IF(D93="","-",+C132+1)</f>
        <v>2043</v>
      </c>
      <c r="D133" s="347">
        <f>IF(F132+SUM(E$99:E132)=D$92,F132,D$92-SUM(E$99:E132))</f>
        <v>2285211</v>
      </c>
      <c r="E133" s="486">
        <f>IF(+J96&lt;F132,J96,D133)</f>
        <v>293745</v>
      </c>
      <c r="F133" s="485">
        <f t="shared" si="51"/>
        <v>1991466</v>
      </c>
      <c r="G133" s="485">
        <f t="shared" si="52"/>
        <v>2138338.5</v>
      </c>
      <c r="H133" s="486">
        <f t="shared" si="49"/>
        <v>529352.80867613759</v>
      </c>
      <c r="I133" s="542">
        <f t="shared" si="50"/>
        <v>529352.80867613759</v>
      </c>
      <c r="J133" s="478">
        <f t="shared" si="53"/>
        <v>0</v>
      </c>
      <c r="K133" s="478"/>
      <c r="L133" s="487"/>
      <c r="M133" s="478">
        <f t="shared" si="54"/>
        <v>0</v>
      </c>
      <c r="N133" s="487"/>
      <c r="O133" s="478">
        <f t="shared" si="55"/>
        <v>0</v>
      </c>
      <c r="P133" s="478">
        <f t="shared" si="56"/>
        <v>0</v>
      </c>
    </row>
    <row r="134" spans="2:16">
      <c r="B134" s="160" t="str">
        <f t="shared" si="33"/>
        <v/>
      </c>
      <c r="C134" s="472">
        <f>IF(D93="","-",+C133+1)</f>
        <v>2044</v>
      </c>
      <c r="D134" s="347">
        <f>IF(F133+SUM(E$99:E133)=D$92,F133,D$92-SUM(E$99:E133))</f>
        <v>1991466</v>
      </c>
      <c r="E134" s="486">
        <f>IF(+J96&lt;F133,J96,D134)</f>
        <v>293745</v>
      </c>
      <c r="F134" s="485">
        <f t="shared" si="51"/>
        <v>1697721</v>
      </c>
      <c r="G134" s="485">
        <f t="shared" si="52"/>
        <v>1844593.5</v>
      </c>
      <c r="H134" s="486">
        <f t="shared" si="49"/>
        <v>496987.20530717989</v>
      </c>
      <c r="I134" s="542">
        <f t="shared" si="50"/>
        <v>496987.20530717989</v>
      </c>
      <c r="J134" s="478">
        <f t="shared" si="53"/>
        <v>0</v>
      </c>
      <c r="K134" s="478"/>
      <c r="L134" s="487"/>
      <c r="M134" s="478">
        <f t="shared" si="54"/>
        <v>0</v>
      </c>
      <c r="N134" s="487"/>
      <c r="O134" s="478">
        <f t="shared" si="55"/>
        <v>0</v>
      </c>
      <c r="P134" s="478">
        <f t="shared" si="56"/>
        <v>0</v>
      </c>
    </row>
    <row r="135" spans="2:16">
      <c r="B135" s="160" t="str">
        <f t="shared" si="33"/>
        <v/>
      </c>
      <c r="C135" s="472">
        <f>IF(D93="","-",+C134+1)</f>
        <v>2045</v>
      </c>
      <c r="D135" s="347">
        <f>IF(F134+SUM(E$99:E134)=D$92,F134,D$92-SUM(E$99:E134))</f>
        <v>1697721</v>
      </c>
      <c r="E135" s="486">
        <f>IF(+J96&lt;F134,J96,D135)</f>
        <v>293745</v>
      </c>
      <c r="F135" s="485">
        <f t="shared" si="51"/>
        <v>1403976</v>
      </c>
      <c r="G135" s="485">
        <f t="shared" si="52"/>
        <v>1550848.5</v>
      </c>
      <c r="H135" s="486">
        <f t="shared" si="49"/>
        <v>464621.60193822219</v>
      </c>
      <c r="I135" s="542">
        <f t="shared" si="50"/>
        <v>464621.60193822219</v>
      </c>
      <c r="J135" s="478">
        <f t="shared" si="53"/>
        <v>0</v>
      </c>
      <c r="K135" s="478"/>
      <c r="L135" s="487"/>
      <c r="M135" s="478">
        <f t="shared" si="54"/>
        <v>0</v>
      </c>
      <c r="N135" s="487"/>
      <c r="O135" s="478">
        <f t="shared" si="55"/>
        <v>0</v>
      </c>
      <c r="P135" s="478">
        <f t="shared" si="56"/>
        <v>0</v>
      </c>
    </row>
    <row r="136" spans="2:16">
      <c r="B136" s="160" t="str">
        <f t="shared" si="33"/>
        <v/>
      </c>
      <c r="C136" s="472">
        <f>IF(D93="","-",+C135+1)</f>
        <v>2046</v>
      </c>
      <c r="D136" s="347">
        <f>IF(F135+SUM(E$99:E135)=D$92,F135,D$92-SUM(E$99:E135))</f>
        <v>1403976</v>
      </c>
      <c r="E136" s="486">
        <f>IF(+J96&lt;F135,J96,D136)</f>
        <v>293745</v>
      </c>
      <c r="F136" s="485">
        <f t="shared" si="51"/>
        <v>1110231</v>
      </c>
      <c r="G136" s="485">
        <f t="shared" si="52"/>
        <v>1257103.5</v>
      </c>
      <c r="H136" s="486">
        <f t="shared" si="49"/>
        <v>432255.99856926443</v>
      </c>
      <c r="I136" s="542">
        <f t="shared" si="50"/>
        <v>432255.99856926443</v>
      </c>
      <c r="J136" s="478">
        <f t="shared" si="53"/>
        <v>0</v>
      </c>
      <c r="K136" s="478"/>
      <c r="L136" s="487"/>
      <c r="M136" s="478">
        <f t="shared" si="54"/>
        <v>0</v>
      </c>
      <c r="N136" s="487"/>
      <c r="O136" s="478">
        <f t="shared" si="55"/>
        <v>0</v>
      </c>
      <c r="P136" s="478">
        <f t="shared" si="56"/>
        <v>0</v>
      </c>
    </row>
    <row r="137" spans="2:16">
      <c r="B137" s="160" t="str">
        <f t="shared" si="33"/>
        <v/>
      </c>
      <c r="C137" s="472">
        <f>IF(D93="","-",+C136+1)</f>
        <v>2047</v>
      </c>
      <c r="D137" s="347">
        <f>IF(F136+SUM(E$99:E136)=D$92,F136,D$92-SUM(E$99:E136))</f>
        <v>1110231</v>
      </c>
      <c r="E137" s="486">
        <f>IF(+J96&lt;F136,J96,D137)</f>
        <v>293745</v>
      </c>
      <c r="F137" s="485">
        <f t="shared" si="51"/>
        <v>816486</v>
      </c>
      <c r="G137" s="485">
        <f t="shared" si="52"/>
        <v>963358.5</v>
      </c>
      <c r="H137" s="486">
        <f t="shared" si="49"/>
        <v>399890.39520030667</v>
      </c>
      <c r="I137" s="542">
        <f t="shared" si="50"/>
        <v>399890.39520030667</v>
      </c>
      <c r="J137" s="478">
        <f t="shared" si="53"/>
        <v>0</v>
      </c>
      <c r="K137" s="478"/>
      <c r="L137" s="487"/>
      <c r="M137" s="478">
        <f t="shared" si="54"/>
        <v>0</v>
      </c>
      <c r="N137" s="487"/>
      <c r="O137" s="478">
        <f t="shared" si="55"/>
        <v>0</v>
      </c>
      <c r="P137" s="478">
        <f t="shared" si="56"/>
        <v>0</v>
      </c>
    </row>
    <row r="138" spans="2:16">
      <c r="B138" s="160" t="str">
        <f t="shared" si="33"/>
        <v/>
      </c>
      <c r="C138" s="472">
        <f>IF(D93="","-",+C137+1)</f>
        <v>2048</v>
      </c>
      <c r="D138" s="347">
        <f>IF(F137+SUM(E$99:E137)=D$92,F137,D$92-SUM(E$99:E137))</f>
        <v>816486</v>
      </c>
      <c r="E138" s="486">
        <f>IF(+J96&lt;F137,J96,D138)</f>
        <v>293745</v>
      </c>
      <c r="F138" s="485">
        <f t="shared" si="51"/>
        <v>522741</v>
      </c>
      <c r="G138" s="485">
        <f t="shared" si="52"/>
        <v>669613.5</v>
      </c>
      <c r="H138" s="486">
        <f t="shared" si="49"/>
        <v>367524.79183134891</v>
      </c>
      <c r="I138" s="542">
        <f t="shared" si="50"/>
        <v>367524.79183134891</v>
      </c>
      <c r="J138" s="478">
        <f t="shared" si="53"/>
        <v>0</v>
      </c>
      <c r="K138" s="478"/>
      <c r="L138" s="487"/>
      <c r="M138" s="478">
        <f t="shared" si="54"/>
        <v>0</v>
      </c>
      <c r="N138" s="487"/>
      <c r="O138" s="478">
        <f t="shared" si="55"/>
        <v>0</v>
      </c>
      <c r="P138" s="478">
        <f t="shared" si="56"/>
        <v>0</v>
      </c>
    </row>
    <row r="139" spans="2:16">
      <c r="B139" s="160" t="str">
        <f t="shared" si="33"/>
        <v/>
      </c>
      <c r="C139" s="472">
        <f>IF(D93="","-",+C138+1)</f>
        <v>2049</v>
      </c>
      <c r="D139" s="347">
        <f>IF(F138+SUM(E$99:E138)=D$92,F138,D$92-SUM(E$99:E138))</f>
        <v>522741</v>
      </c>
      <c r="E139" s="486">
        <f>IF(+J96&lt;F138,J96,D139)</f>
        <v>293745</v>
      </c>
      <c r="F139" s="485">
        <f t="shared" si="51"/>
        <v>228996</v>
      </c>
      <c r="G139" s="485">
        <f t="shared" si="52"/>
        <v>375868.5</v>
      </c>
      <c r="H139" s="486">
        <f t="shared" si="49"/>
        <v>335159.18846239115</v>
      </c>
      <c r="I139" s="542">
        <f t="shared" si="50"/>
        <v>335159.18846239115</v>
      </c>
      <c r="J139" s="478">
        <f t="shared" si="53"/>
        <v>0</v>
      </c>
      <c r="K139" s="478"/>
      <c r="L139" s="487"/>
      <c r="M139" s="478">
        <f t="shared" si="54"/>
        <v>0</v>
      </c>
      <c r="N139" s="487"/>
      <c r="O139" s="478">
        <f t="shared" si="55"/>
        <v>0</v>
      </c>
      <c r="P139" s="478">
        <f t="shared" si="56"/>
        <v>0</v>
      </c>
    </row>
    <row r="140" spans="2:16">
      <c r="B140" s="160" t="str">
        <f t="shared" si="33"/>
        <v/>
      </c>
      <c r="C140" s="472">
        <f>IF(D93="","-",+C139+1)</f>
        <v>2050</v>
      </c>
      <c r="D140" s="347">
        <f>IF(F139+SUM(E$99:E139)=D$92,F139,D$92-SUM(E$99:E139))</f>
        <v>228996</v>
      </c>
      <c r="E140" s="486">
        <f>IF(+J96&lt;F139,J96,D140)</f>
        <v>228996</v>
      </c>
      <c r="F140" s="485">
        <f t="shared" si="51"/>
        <v>0</v>
      </c>
      <c r="G140" s="485">
        <f t="shared" si="52"/>
        <v>114498</v>
      </c>
      <c r="H140" s="486">
        <f t="shared" si="49"/>
        <v>241611.69338895613</v>
      </c>
      <c r="I140" s="542">
        <f t="shared" si="50"/>
        <v>241611.69338895613</v>
      </c>
      <c r="J140" s="478">
        <f t="shared" si="53"/>
        <v>0</v>
      </c>
      <c r="K140" s="478"/>
      <c r="L140" s="487"/>
      <c r="M140" s="478">
        <f t="shared" si="54"/>
        <v>0</v>
      </c>
      <c r="N140" s="487"/>
      <c r="O140" s="478">
        <f t="shared" si="55"/>
        <v>0</v>
      </c>
      <c r="P140" s="478">
        <f t="shared" si="56"/>
        <v>0</v>
      </c>
    </row>
    <row r="141" spans="2:16">
      <c r="B141" s="160" t="str">
        <f t="shared" si="33"/>
        <v/>
      </c>
      <c r="C141" s="472">
        <f>IF(D93="","-",+C140+1)</f>
        <v>2051</v>
      </c>
      <c r="D141" s="347">
        <f>IF(F140+SUM(E$99:E140)=D$92,F140,D$92-SUM(E$99:E140))</f>
        <v>0</v>
      </c>
      <c r="E141" s="486">
        <f>IF(+J96&lt;F140,J96,D141)</f>
        <v>0</v>
      </c>
      <c r="F141" s="485">
        <f t="shared" si="51"/>
        <v>0</v>
      </c>
      <c r="G141" s="485">
        <f t="shared" si="52"/>
        <v>0</v>
      </c>
      <c r="H141" s="486">
        <f t="shared" si="49"/>
        <v>0</v>
      </c>
      <c r="I141" s="542">
        <f t="shared" si="50"/>
        <v>0</v>
      </c>
      <c r="J141" s="478">
        <f t="shared" si="53"/>
        <v>0</v>
      </c>
      <c r="K141" s="478"/>
      <c r="L141" s="487"/>
      <c r="M141" s="478">
        <f t="shared" si="54"/>
        <v>0</v>
      </c>
      <c r="N141" s="487"/>
      <c r="O141" s="478">
        <f t="shared" si="55"/>
        <v>0</v>
      </c>
      <c r="P141" s="478">
        <f t="shared" si="56"/>
        <v>0</v>
      </c>
    </row>
    <row r="142" spans="2:16">
      <c r="B142" s="160" t="str">
        <f t="shared" si="33"/>
        <v/>
      </c>
      <c r="C142" s="472">
        <f>IF(D93="","-",+C141+1)</f>
        <v>2052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1"/>
        <v>0</v>
      </c>
      <c r="G142" s="485">
        <f t="shared" si="52"/>
        <v>0</v>
      </c>
      <c r="H142" s="486">
        <f t="shared" si="49"/>
        <v>0</v>
      </c>
      <c r="I142" s="542">
        <f t="shared" si="50"/>
        <v>0</v>
      </c>
      <c r="J142" s="478">
        <f t="shared" si="53"/>
        <v>0</v>
      </c>
      <c r="K142" s="478"/>
      <c r="L142" s="487"/>
      <c r="M142" s="478">
        <f t="shared" si="54"/>
        <v>0</v>
      </c>
      <c r="N142" s="487"/>
      <c r="O142" s="478">
        <f t="shared" si="55"/>
        <v>0</v>
      </c>
      <c r="P142" s="478">
        <f t="shared" si="56"/>
        <v>0</v>
      </c>
    </row>
    <row r="143" spans="2:16">
      <c r="B143" s="160" t="str">
        <f t="shared" si="33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1"/>
        <v>0</v>
      </c>
      <c r="G143" s="485">
        <f t="shared" si="52"/>
        <v>0</v>
      </c>
      <c r="H143" s="486">
        <f t="shared" si="49"/>
        <v>0</v>
      </c>
      <c r="I143" s="542">
        <f t="shared" si="50"/>
        <v>0</v>
      </c>
      <c r="J143" s="478">
        <f t="shared" si="53"/>
        <v>0</v>
      </c>
      <c r="K143" s="478"/>
      <c r="L143" s="487"/>
      <c r="M143" s="478">
        <f t="shared" si="54"/>
        <v>0</v>
      </c>
      <c r="N143" s="487"/>
      <c r="O143" s="478">
        <f t="shared" si="55"/>
        <v>0</v>
      </c>
      <c r="P143" s="478">
        <f t="shared" si="56"/>
        <v>0</v>
      </c>
    </row>
    <row r="144" spans="2:16">
      <c r="B144" s="160" t="str">
        <f t="shared" si="33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1"/>
        <v>0</v>
      </c>
      <c r="G144" s="485">
        <f t="shared" si="52"/>
        <v>0</v>
      </c>
      <c r="H144" s="486">
        <f t="shared" si="49"/>
        <v>0</v>
      </c>
      <c r="I144" s="542">
        <f t="shared" si="50"/>
        <v>0</v>
      </c>
      <c r="J144" s="478">
        <f t="shared" si="53"/>
        <v>0</v>
      </c>
      <c r="K144" s="478"/>
      <c r="L144" s="487"/>
      <c r="M144" s="478">
        <f t="shared" si="54"/>
        <v>0</v>
      </c>
      <c r="N144" s="487"/>
      <c r="O144" s="478">
        <f t="shared" si="55"/>
        <v>0</v>
      </c>
      <c r="P144" s="478">
        <f t="shared" si="56"/>
        <v>0</v>
      </c>
    </row>
    <row r="145" spans="2:16">
      <c r="B145" s="160" t="str">
        <f t="shared" si="33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1"/>
        <v>0</v>
      </c>
      <c r="G145" s="485">
        <f t="shared" si="52"/>
        <v>0</v>
      </c>
      <c r="H145" s="486">
        <f t="shared" si="49"/>
        <v>0</v>
      </c>
      <c r="I145" s="542">
        <f t="shared" si="50"/>
        <v>0</v>
      </c>
      <c r="J145" s="478">
        <f t="shared" si="53"/>
        <v>0</v>
      </c>
      <c r="K145" s="478"/>
      <c r="L145" s="487"/>
      <c r="M145" s="478">
        <f t="shared" si="54"/>
        <v>0</v>
      </c>
      <c r="N145" s="487"/>
      <c r="O145" s="478">
        <f t="shared" si="55"/>
        <v>0</v>
      </c>
      <c r="P145" s="478">
        <f t="shared" si="56"/>
        <v>0</v>
      </c>
    </row>
    <row r="146" spans="2:16">
      <c r="B146" s="160" t="str">
        <f t="shared" si="33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1"/>
        <v>0</v>
      </c>
      <c r="G146" s="485">
        <f t="shared" si="52"/>
        <v>0</v>
      </c>
      <c r="H146" s="486">
        <f t="shared" si="49"/>
        <v>0</v>
      </c>
      <c r="I146" s="542">
        <f t="shared" si="50"/>
        <v>0</v>
      </c>
      <c r="J146" s="478">
        <f t="shared" si="53"/>
        <v>0</v>
      </c>
      <c r="K146" s="478"/>
      <c r="L146" s="487"/>
      <c r="M146" s="478">
        <f t="shared" si="54"/>
        <v>0</v>
      </c>
      <c r="N146" s="487"/>
      <c r="O146" s="478">
        <f t="shared" si="55"/>
        <v>0</v>
      </c>
      <c r="P146" s="478">
        <f t="shared" si="56"/>
        <v>0</v>
      </c>
    </row>
    <row r="147" spans="2:16">
      <c r="B147" s="160" t="str">
        <f t="shared" si="33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1"/>
        <v>0</v>
      </c>
      <c r="G147" s="485">
        <f t="shared" si="52"/>
        <v>0</v>
      </c>
      <c r="H147" s="486">
        <f t="shared" si="49"/>
        <v>0</v>
      </c>
      <c r="I147" s="542">
        <f t="shared" si="50"/>
        <v>0</v>
      </c>
      <c r="J147" s="478">
        <f t="shared" si="53"/>
        <v>0</v>
      </c>
      <c r="K147" s="478"/>
      <c r="L147" s="487"/>
      <c r="M147" s="478">
        <f t="shared" si="54"/>
        <v>0</v>
      </c>
      <c r="N147" s="487"/>
      <c r="O147" s="478">
        <f t="shared" si="55"/>
        <v>0</v>
      </c>
      <c r="P147" s="478">
        <f t="shared" si="56"/>
        <v>0</v>
      </c>
    </row>
    <row r="148" spans="2:16">
      <c r="B148" s="160" t="str">
        <f t="shared" si="33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1"/>
        <v>0</v>
      </c>
      <c r="G148" s="485">
        <f t="shared" si="52"/>
        <v>0</v>
      </c>
      <c r="H148" s="486">
        <f t="shared" si="49"/>
        <v>0</v>
      </c>
      <c r="I148" s="542">
        <f t="shared" si="50"/>
        <v>0</v>
      </c>
      <c r="J148" s="478">
        <f t="shared" si="53"/>
        <v>0</v>
      </c>
      <c r="K148" s="478"/>
      <c r="L148" s="487"/>
      <c r="M148" s="478">
        <f t="shared" si="54"/>
        <v>0</v>
      </c>
      <c r="N148" s="487"/>
      <c r="O148" s="478">
        <f t="shared" si="55"/>
        <v>0</v>
      </c>
      <c r="P148" s="478">
        <f t="shared" si="56"/>
        <v>0</v>
      </c>
    </row>
    <row r="149" spans="2:16">
      <c r="B149" s="160" t="str">
        <f t="shared" si="33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1"/>
        <v>0</v>
      </c>
      <c r="G149" s="485">
        <f t="shared" si="52"/>
        <v>0</v>
      </c>
      <c r="H149" s="486">
        <f t="shared" si="49"/>
        <v>0</v>
      </c>
      <c r="I149" s="542">
        <f t="shared" si="50"/>
        <v>0</v>
      </c>
      <c r="J149" s="478">
        <f t="shared" si="53"/>
        <v>0</v>
      </c>
      <c r="K149" s="478"/>
      <c r="L149" s="487"/>
      <c r="M149" s="478">
        <f t="shared" si="54"/>
        <v>0</v>
      </c>
      <c r="N149" s="487"/>
      <c r="O149" s="478">
        <f t="shared" si="55"/>
        <v>0</v>
      </c>
      <c r="P149" s="478">
        <f t="shared" si="56"/>
        <v>0</v>
      </c>
    </row>
    <row r="150" spans="2:16">
      <c r="B150" s="160" t="str">
        <f t="shared" si="33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1"/>
        <v>0</v>
      </c>
      <c r="G150" s="485">
        <f t="shared" si="52"/>
        <v>0</v>
      </c>
      <c r="H150" s="486">
        <f t="shared" si="49"/>
        <v>0</v>
      </c>
      <c r="I150" s="542">
        <f t="shared" si="50"/>
        <v>0</v>
      </c>
      <c r="J150" s="478">
        <f t="shared" si="53"/>
        <v>0</v>
      </c>
      <c r="K150" s="478"/>
      <c r="L150" s="487"/>
      <c r="M150" s="478">
        <f t="shared" si="54"/>
        <v>0</v>
      </c>
      <c r="N150" s="487"/>
      <c r="O150" s="478">
        <f t="shared" si="55"/>
        <v>0</v>
      </c>
      <c r="P150" s="478">
        <f t="shared" si="56"/>
        <v>0</v>
      </c>
    </row>
    <row r="151" spans="2:16">
      <c r="B151" s="160" t="str">
        <f t="shared" si="33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1"/>
        <v>0</v>
      </c>
      <c r="G151" s="485">
        <f t="shared" si="52"/>
        <v>0</v>
      </c>
      <c r="H151" s="486">
        <f t="shared" si="49"/>
        <v>0</v>
      </c>
      <c r="I151" s="542">
        <f t="shared" si="50"/>
        <v>0</v>
      </c>
      <c r="J151" s="478">
        <f t="shared" si="53"/>
        <v>0</v>
      </c>
      <c r="K151" s="478"/>
      <c r="L151" s="487"/>
      <c r="M151" s="478">
        <f t="shared" si="54"/>
        <v>0</v>
      </c>
      <c r="N151" s="487"/>
      <c r="O151" s="478">
        <f t="shared" si="55"/>
        <v>0</v>
      </c>
      <c r="P151" s="478">
        <f t="shared" si="56"/>
        <v>0</v>
      </c>
    </row>
    <row r="152" spans="2:16">
      <c r="B152" s="160" t="str">
        <f t="shared" si="33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1"/>
        <v>0</v>
      </c>
      <c r="G152" s="485">
        <f t="shared" si="52"/>
        <v>0</v>
      </c>
      <c r="H152" s="486">
        <f t="shared" si="49"/>
        <v>0</v>
      </c>
      <c r="I152" s="542">
        <f t="shared" si="50"/>
        <v>0</v>
      </c>
      <c r="J152" s="478">
        <f t="shared" si="53"/>
        <v>0</v>
      </c>
      <c r="K152" s="478"/>
      <c r="L152" s="487"/>
      <c r="M152" s="478">
        <f t="shared" si="54"/>
        <v>0</v>
      </c>
      <c r="N152" s="487"/>
      <c r="O152" s="478">
        <f t="shared" si="55"/>
        <v>0</v>
      </c>
      <c r="P152" s="478">
        <f t="shared" si="56"/>
        <v>0</v>
      </c>
    </row>
    <row r="153" spans="2:16">
      <c r="B153" s="160" t="str">
        <f t="shared" si="33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1"/>
        <v>0</v>
      </c>
      <c r="G153" s="485">
        <f t="shared" si="52"/>
        <v>0</v>
      </c>
      <c r="H153" s="486">
        <f t="shared" si="49"/>
        <v>0</v>
      </c>
      <c r="I153" s="542">
        <f t="shared" si="50"/>
        <v>0</v>
      </c>
      <c r="J153" s="478">
        <f t="shared" si="53"/>
        <v>0</v>
      </c>
      <c r="K153" s="478"/>
      <c r="L153" s="487"/>
      <c r="M153" s="478">
        <f t="shared" si="54"/>
        <v>0</v>
      </c>
      <c r="N153" s="487"/>
      <c r="O153" s="478">
        <f t="shared" si="55"/>
        <v>0</v>
      </c>
      <c r="P153" s="478">
        <f t="shared" si="56"/>
        <v>0</v>
      </c>
    </row>
    <row r="154" spans="2:16" ht="13.5" thickBot="1">
      <c r="B154" s="160" t="str">
        <f t="shared" si="33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1"/>
        <v>0</v>
      </c>
      <c r="G154" s="490">
        <f t="shared" si="52"/>
        <v>0</v>
      </c>
      <c r="H154" s="490">
        <f t="shared" si="49"/>
        <v>0</v>
      </c>
      <c r="I154" s="545">
        <f t="shared" si="50"/>
        <v>0</v>
      </c>
      <c r="J154" s="495">
        <f t="shared" si="53"/>
        <v>0</v>
      </c>
      <c r="K154" s="478"/>
      <c r="L154" s="494"/>
      <c r="M154" s="495">
        <f t="shared" si="54"/>
        <v>0</v>
      </c>
      <c r="N154" s="494"/>
      <c r="O154" s="495">
        <f t="shared" si="55"/>
        <v>0</v>
      </c>
      <c r="P154" s="495">
        <f t="shared" si="56"/>
        <v>0</v>
      </c>
    </row>
    <row r="155" spans="2:16">
      <c r="C155" s="347" t="s">
        <v>77</v>
      </c>
      <c r="D155" s="348"/>
      <c r="E155" s="348">
        <f>SUM(E99:E154)</f>
        <v>11456065</v>
      </c>
      <c r="F155" s="348"/>
      <c r="G155" s="348"/>
      <c r="H155" s="348">
        <f>SUM(H99:H154)</f>
        <v>41673511.344401419</v>
      </c>
      <c r="I155" s="348">
        <f>SUM(I99:I154)</f>
        <v>41673511.344401419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P1048576"/>
  <sheetViews>
    <sheetView view="pageBreakPreview" zoomScale="75" zoomScaleNormal="100" zoomScaleSheetLayoutView="50" workbookViewId="0">
      <selection activeCell="D10" sqref="D10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4 of 31</v>
      </c>
    </row>
    <row r="2" spans="1:16" ht="20.25">
      <c r="A2" s="555"/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 t="s">
        <v>248</v>
      </c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VLOOKUP(I10,C17:I72,5)-O5</f>
        <v>1445071.5333333332</v>
      </c>
      <c r="O5" s="556">
        <f>1307.4*12</f>
        <v>15688.800000000001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VLOOKUP(I10,C17:I72,6)-O5</f>
        <v>1445071.5333333332</v>
      </c>
      <c r="O6" s="233"/>
      <c r="P6" s="233"/>
    </row>
    <row r="7" spans="1:16" ht="13.5" thickBot="1">
      <c r="C7" s="431" t="s">
        <v>46</v>
      </c>
      <c r="D7" s="432" t="s">
        <v>207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82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14615636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7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347991.33333333331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557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2008</v>
      </c>
      <c r="D17" s="558">
        <v>2264444</v>
      </c>
      <c r="E17" s="474">
        <v>21774</v>
      </c>
      <c r="F17" s="473">
        <v>2242670</v>
      </c>
      <c r="G17" s="474">
        <v>215833</v>
      </c>
      <c r="H17" s="474">
        <v>215833</v>
      </c>
      <c r="I17" s="475">
        <f t="shared" ref="I17:I48" si="0">H17-G17</f>
        <v>0</v>
      </c>
      <c r="J17" s="349"/>
      <c r="K17" s="476">
        <v>215833</v>
      </c>
      <c r="L17" s="559">
        <f t="shared" ref="L17:L48" si="1">IF(K17&lt;&gt;0,+G17-K17,0)</f>
        <v>0</v>
      </c>
      <c r="M17" s="554">
        <v>215833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2009</v>
      </c>
      <c r="D18" s="473">
        <v>14429811</v>
      </c>
      <c r="E18" s="480">
        <v>274418</v>
      </c>
      <c r="F18" s="473">
        <v>14155393</v>
      </c>
      <c r="G18" s="480">
        <v>2443110</v>
      </c>
      <c r="H18" s="480">
        <v>2443110</v>
      </c>
      <c r="I18" s="475">
        <f t="shared" si="0"/>
        <v>0</v>
      </c>
      <c r="J18" s="475"/>
      <c r="K18" s="476">
        <v>2443110</v>
      </c>
      <c r="L18" s="478">
        <f t="shared" si="1"/>
        <v>0</v>
      </c>
      <c r="M18" s="476">
        <v>2443110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2010</v>
      </c>
      <c r="D19" s="479">
        <v>14390719</v>
      </c>
      <c r="E19" s="480">
        <v>262266.26785714284</v>
      </c>
      <c r="F19" s="479">
        <v>14128452.732142856</v>
      </c>
      <c r="G19" s="480">
        <v>2300952.2678571427</v>
      </c>
      <c r="H19" s="481">
        <v>2300952.2678571427</v>
      </c>
      <c r="I19" s="475">
        <f t="shared" si="0"/>
        <v>0</v>
      </c>
      <c r="J19" s="475"/>
      <c r="K19" s="476">
        <f t="shared" ref="K19:K24" si="4">G19</f>
        <v>2300952.2678571427</v>
      </c>
      <c r="L19" s="550">
        <f t="shared" si="1"/>
        <v>0</v>
      </c>
      <c r="M19" s="476">
        <f t="shared" ref="M19:M24" si="5">H19</f>
        <v>2300952.2678571427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>IU</v>
      </c>
      <c r="C20" s="472">
        <f>IF(D11="","-",+C19+1)</f>
        <v>2011</v>
      </c>
      <c r="D20" s="479">
        <v>14057177.732142856</v>
      </c>
      <c r="E20" s="480">
        <v>286581.09803921566</v>
      </c>
      <c r="F20" s="479">
        <v>13770596.634103641</v>
      </c>
      <c r="G20" s="480">
        <v>2442276.0980392154</v>
      </c>
      <c r="H20" s="481">
        <v>2442276.0980392154</v>
      </c>
      <c r="I20" s="475">
        <f t="shared" si="0"/>
        <v>0</v>
      </c>
      <c r="J20" s="475"/>
      <c r="K20" s="476">
        <f t="shared" si="4"/>
        <v>2442276.0980392154</v>
      </c>
      <c r="L20" s="550">
        <f t="shared" si="1"/>
        <v>0</v>
      </c>
      <c r="M20" s="476">
        <f t="shared" si="5"/>
        <v>2442276.0980392154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2012</v>
      </c>
      <c r="D21" s="479">
        <v>13770596.634103641</v>
      </c>
      <c r="E21" s="480">
        <v>281069.92307692306</v>
      </c>
      <c r="F21" s="479">
        <v>13489526.711026717</v>
      </c>
      <c r="G21" s="480">
        <v>2158902.923076923</v>
      </c>
      <c r="H21" s="481">
        <v>2158902.923076923</v>
      </c>
      <c r="I21" s="475">
        <f t="shared" si="0"/>
        <v>0</v>
      </c>
      <c r="J21" s="475"/>
      <c r="K21" s="476">
        <f t="shared" si="4"/>
        <v>2158902.923076923</v>
      </c>
      <c r="L21" s="550">
        <f t="shared" si="1"/>
        <v>0</v>
      </c>
      <c r="M21" s="476">
        <f t="shared" si="5"/>
        <v>2158902.923076923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6"/>
        <v/>
      </c>
      <c r="C22" s="472">
        <f>IF(D11="","-",+C21+1)</f>
        <v>2013</v>
      </c>
      <c r="D22" s="479">
        <v>13489526.711026717</v>
      </c>
      <c r="E22" s="480">
        <v>281069.92307692306</v>
      </c>
      <c r="F22" s="479">
        <v>13208456.787949793</v>
      </c>
      <c r="G22" s="480">
        <v>2167326.923076923</v>
      </c>
      <c r="H22" s="481">
        <v>2167326.923076923</v>
      </c>
      <c r="I22" s="475">
        <v>0</v>
      </c>
      <c r="J22" s="475"/>
      <c r="K22" s="476">
        <f t="shared" si="4"/>
        <v>2167326.923076923</v>
      </c>
      <c r="L22" s="550">
        <f t="shared" ref="L22:L27" si="7">IF(K22&lt;&gt;0,+G22-K22,0)</f>
        <v>0</v>
      </c>
      <c r="M22" s="476">
        <f t="shared" si="5"/>
        <v>2167326.923076923</v>
      </c>
      <c r="N22" s="478">
        <f t="shared" ref="N22:N27" si="8">IF(M22&lt;&gt;0,+H22-M22,0)</f>
        <v>0</v>
      </c>
      <c r="O22" s="478">
        <f t="shared" ref="O22:O27" si="9">+N22-L22</f>
        <v>0</v>
      </c>
      <c r="P22" s="243"/>
    </row>
    <row r="23" spans="2:16">
      <c r="B23" s="160" t="str">
        <f t="shared" si="6"/>
        <v/>
      </c>
      <c r="C23" s="472">
        <f>IF(D11="","-",+C22+1)</f>
        <v>2014</v>
      </c>
      <c r="D23" s="479">
        <v>13208456.787949793</v>
      </c>
      <c r="E23" s="480">
        <v>281069.92307692306</v>
      </c>
      <c r="F23" s="479">
        <v>12927386.864872869</v>
      </c>
      <c r="G23" s="480">
        <v>2060637.923076923</v>
      </c>
      <c r="H23" s="481">
        <v>2060637.923076923</v>
      </c>
      <c r="I23" s="475">
        <v>0</v>
      </c>
      <c r="J23" s="475"/>
      <c r="K23" s="476">
        <f t="shared" si="4"/>
        <v>2060637.923076923</v>
      </c>
      <c r="L23" s="550">
        <f t="shared" si="7"/>
        <v>0</v>
      </c>
      <c r="M23" s="476">
        <f t="shared" si="5"/>
        <v>2060637.923076923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2015</v>
      </c>
      <c r="D24" s="479">
        <v>12927386.864872869</v>
      </c>
      <c r="E24" s="480">
        <v>281069.92307692306</v>
      </c>
      <c r="F24" s="479">
        <v>12646316.941795945</v>
      </c>
      <c r="G24" s="480">
        <v>2024638.923076923</v>
      </c>
      <c r="H24" s="481">
        <v>2024638.923076923</v>
      </c>
      <c r="I24" s="475">
        <v>0</v>
      </c>
      <c r="J24" s="475"/>
      <c r="K24" s="476">
        <f t="shared" si="4"/>
        <v>2024638.923076923</v>
      </c>
      <c r="L24" s="550">
        <f t="shared" si="7"/>
        <v>0</v>
      </c>
      <c r="M24" s="476">
        <f t="shared" si="5"/>
        <v>2024638.923076923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2016</v>
      </c>
      <c r="D25" s="479">
        <v>12646316.941795945</v>
      </c>
      <c r="E25" s="480">
        <v>281069.92307692306</v>
      </c>
      <c r="F25" s="479">
        <v>12365247.018719021</v>
      </c>
      <c r="G25" s="480">
        <v>1902890.923076923</v>
      </c>
      <c r="H25" s="481">
        <v>1902890.923076923</v>
      </c>
      <c r="I25" s="475">
        <f t="shared" si="0"/>
        <v>0</v>
      </c>
      <c r="J25" s="475"/>
      <c r="K25" s="476">
        <f t="shared" ref="K25:K30" si="10">G25</f>
        <v>1902890.923076923</v>
      </c>
      <c r="L25" s="550">
        <f t="shared" si="7"/>
        <v>0</v>
      </c>
      <c r="M25" s="476">
        <f t="shared" ref="M25:M30" si="11">H25</f>
        <v>1902890.923076923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2017</v>
      </c>
      <c r="D26" s="479">
        <v>12365247.018719021</v>
      </c>
      <c r="E26" s="480">
        <v>317731.21739130432</v>
      </c>
      <c r="F26" s="479">
        <v>12047515.801327717</v>
      </c>
      <c r="G26" s="480">
        <v>1850906.2173913042</v>
      </c>
      <c r="H26" s="481">
        <v>1850906.2173913042</v>
      </c>
      <c r="I26" s="475">
        <f t="shared" si="0"/>
        <v>0</v>
      </c>
      <c r="J26" s="475"/>
      <c r="K26" s="476">
        <f t="shared" si="10"/>
        <v>1850906.2173913042</v>
      </c>
      <c r="L26" s="550">
        <f t="shared" si="7"/>
        <v>0</v>
      </c>
      <c r="M26" s="476">
        <f t="shared" si="11"/>
        <v>1850906.2173913042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2018</v>
      </c>
      <c r="D27" s="479">
        <v>12047515.801327717</v>
      </c>
      <c r="E27" s="480">
        <v>324791.91111111111</v>
      </c>
      <c r="F27" s="479">
        <v>11722723.890216606</v>
      </c>
      <c r="G27" s="480">
        <v>1748141.2740256879</v>
      </c>
      <c r="H27" s="481">
        <v>1748141.2740256879</v>
      </c>
      <c r="I27" s="475">
        <f t="shared" si="0"/>
        <v>0</v>
      </c>
      <c r="J27" s="475"/>
      <c r="K27" s="476">
        <f t="shared" si="10"/>
        <v>1748141.2740256879</v>
      </c>
      <c r="L27" s="550">
        <f t="shared" si="7"/>
        <v>0</v>
      </c>
      <c r="M27" s="476">
        <f t="shared" si="11"/>
        <v>1748141.2740256879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2019</v>
      </c>
      <c r="D28" s="479">
        <v>11722723.890216606</v>
      </c>
      <c r="E28" s="480">
        <v>365390.9</v>
      </c>
      <c r="F28" s="479">
        <v>11357332.990216605</v>
      </c>
      <c r="G28" s="480">
        <v>1653911.6007125233</v>
      </c>
      <c r="H28" s="481">
        <v>1653911.6007125233</v>
      </c>
      <c r="I28" s="475">
        <f t="shared" si="0"/>
        <v>0</v>
      </c>
      <c r="J28" s="475"/>
      <c r="K28" s="476">
        <f t="shared" si="10"/>
        <v>1653911.6007125233</v>
      </c>
      <c r="L28" s="550">
        <f t="shared" ref="L28" si="12">IF(K28&lt;&gt;0,+G28-K28,0)</f>
        <v>0</v>
      </c>
      <c r="M28" s="476">
        <f t="shared" si="11"/>
        <v>1653911.6007125233</v>
      </c>
      <c r="N28" s="478">
        <f t="shared" ref="N28" si="13">IF(M28&lt;&gt;0,+H28-M28,0)</f>
        <v>0</v>
      </c>
      <c r="O28" s="478">
        <f t="shared" ref="O28" si="14">+N28-L28</f>
        <v>0</v>
      </c>
      <c r="P28" s="243"/>
    </row>
    <row r="29" spans="2:16">
      <c r="B29" s="160" t="str">
        <f t="shared" si="6"/>
        <v>IU</v>
      </c>
      <c r="C29" s="472">
        <f>IF(D11="","-",+C28+1)</f>
        <v>2020</v>
      </c>
      <c r="D29" s="479">
        <v>11397931.979105495</v>
      </c>
      <c r="E29" s="480">
        <v>347991.33333333331</v>
      </c>
      <c r="F29" s="479">
        <v>11049940.645772161</v>
      </c>
      <c r="G29" s="480">
        <v>1560230.0708098114</v>
      </c>
      <c r="H29" s="481">
        <v>1560230.0708098114</v>
      </c>
      <c r="I29" s="475">
        <f t="shared" si="0"/>
        <v>0</v>
      </c>
      <c r="J29" s="475"/>
      <c r="K29" s="476">
        <f t="shared" si="10"/>
        <v>1560230.0708098114</v>
      </c>
      <c r="L29" s="550">
        <f t="shared" ref="L29" si="15">IF(K29&lt;&gt;0,+G29-K29,0)</f>
        <v>0</v>
      </c>
      <c r="M29" s="476">
        <f t="shared" si="11"/>
        <v>1560230.0708098114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2021</v>
      </c>
      <c r="D30" s="479">
        <v>11009341.656883277</v>
      </c>
      <c r="E30" s="480">
        <v>339898.51162790699</v>
      </c>
      <c r="F30" s="479">
        <v>10669443.14525537</v>
      </c>
      <c r="G30" s="480">
        <v>1490295.5116279069</v>
      </c>
      <c r="H30" s="481">
        <v>1490295.5116279069</v>
      </c>
      <c r="I30" s="475">
        <f t="shared" si="0"/>
        <v>0</v>
      </c>
      <c r="J30" s="475"/>
      <c r="K30" s="476">
        <f t="shared" si="10"/>
        <v>1490295.5116279069</v>
      </c>
      <c r="L30" s="550">
        <f t="shared" ref="L30" si="16">IF(K30&lt;&gt;0,+G30-K30,0)</f>
        <v>0</v>
      </c>
      <c r="M30" s="476">
        <f t="shared" si="11"/>
        <v>1490295.5116279069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2022</v>
      </c>
      <c r="D31" s="479">
        <v>10669443.14525537</v>
      </c>
      <c r="E31" s="480">
        <v>347991.33333333331</v>
      </c>
      <c r="F31" s="479">
        <v>10321451.811922036</v>
      </c>
      <c r="G31" s="480">
        <v>1460760.3333333333</v>
      </c>
      <c r="H31" s="481">
        <v>1460760.3333333333</v>
      </c>
      <c r="I31" s="475">
        <f t="shared" si="0"/>
        <v>0</v>
      </c>
      <c r="J31" s="475"/>
      <c r="K31" s="476">
        <f t="shared" ref="K31" si="17">G31</f>
        <v>1460760.3333333333</v>
      </c>
      <c r="L31" s="550">
        <f t="shared" ref="L31" si="18">IF(K31&lt;&gt;0,+G31-K31,0)</f>
        <v>0</v>
      </c>
      <c r="M31" s="476">
        <f t="shared" ref="M31" si="19">H31</f>
        <v>1460760.3333333333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10321451.811922036</v>
      </c>
      <c r="E32" s="484">
        <f>IF(+I14&lt;F31,I14,D32)</f>
        <v>347991.33333333331</v>
      </c>
      <c r="F32" s="485">
        <f t="shared" ref="F32:F72" si="20">+D32-E32</f>
        <v>9973460.4785887022</v>
      </c>
      <c r="G32" s="486">
        <f t="shared" ref="G32:G72" si="21">(D32+F32)/2*I$12+E32</f>
        <v>1442001.2221277677</v>
      </c>
      <c r="H32" s="455">
        <f t="shared" ref="H32:H72" si="22">+(D32+F32)/2*I$13+E32</f>
        <v>1442001.2221277677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9973460.4785887022</v>
      </c>
      <c r="E33" s="484">
        <f>IF(+I14&lt;F32,I14,D33)</f>
        <v>347991.33333333331</v>
      </c>
      <c r="F33" s="485">
        <f t="shared" si="20"/>
        <v>9625469.1452553682</v>
      </c>
      <c r="G33" s="486">
        <f t="shared" si="21"/>
        <v>1404483.8429509746</v>
      </c>
      <c r="H33" s="455">
        <f t="shared" si="22"/>
        <v>1404483.8429509746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9625469.1452553682</v>
      </c>
      <c r="E34" s="484">
        <f>IF(+I14&lt;F33,I14,D34)</f>
        <v>347991.33333333331</v>
      </c>
      <c r="F34" s="485">
        <f t="shared" si="20"/>
        <v>9277477.8119220342</v>
      </c>
      <c r="G34" s="486">
        <f t="shared" si="21"/>
        <v>1366966.4637741812</v>
      </c>
      <c r="H34" s="455">
        <f t="shared" si="22"/>
        <v>1366966.4637741812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9277477.8119220342</v>
      </c>
      <c r="E35" s="484">
        <f>IF(+I14&lt;F34,I14,D35)</f>
        <v>347991.33333333331</v>
      </c>
      <c r="F35" s="485">
        <f t="shared" si="20"/>
        <v>8929486.4785887003</v>
      </c>
      <c r="G35" s="486">
        <f t="shared" si="21"/>
        <v>1329449.084597388</v>
      </c>
      <c r="H35" s="455">
        <f t="shared" si="22"/>
        <v>1329449.084597388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8929486.4785887003</v>
      </c>
      <c r="E36" s="484">
        <f>IF(+I14&lt;F35,I14,D36)</f>
        <v>347991.33333333331</v>
      </c>
      <c r="F36" s="485">
        <f t="shared" si="20"/>
        <v>8581495.1452553663</v>
      </c>
      <c r="G36" s="486">
        <f t="shared" si="21"/>
        <v>1291931.7054205944</v>
      </c>
      <c r="H36" s="455">
        <f t="shared" si="22"/>
        <v>1291931.7054205944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8581495.1452553663</v>
      </c>
      <c r="E37" s="484">
        <f>IF(+I14&lt;F36,I14,D37)</f>
        <v>347991.33333333331</v>
      </c>
      <c r="F37" s="485">
        <f t="shared" si="20"/>
        <v>8233503.8119220333</v>
      </c>
      <c r="G37" s="486">
        <f t="shared" si="21"/>
        <v>1254414.3262438013</v>
      </c>
      <c r="H37" s="455">
        <f t="shared" si="22"/>
        <v>1254414.3262438013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8233503.8119220333</v>
      </c>
      <c r="E38" s="484">
        <f>IF(+I14&lt;F37,I14,D38)</f>
        <v>347991.33333333331</v>
      </c>
      <c r="F38" s="485">
        <f t="shared" si="20"/>
        <v>7885512.4785887003</v>
      </c>
      <c r="G38" s="486">
        <f t="shared" si="21"/>
        <v>1216896.9470670079</v>
      </c>
      <c r="H38" s="455">
        <f t="shared" si="22"/>
        <v>1216896.9470670079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7885512.4785887003</v>
      </c>
      <c r="E39" s="484">
        <f>IF(+I14&lt;F38,I14,D39)</f>
        <v>347991.33333333331</v>
      </c>
      <c r="F39" s="485">
        <f t="shared" si="20"/>
        <v>7537521.1452553673</v>
      </c>
      <c r="G39" s="486">
        <f t="shared" si="21"/>
        <v>1179379.5678902147</v>
      </c>
      <c r="H39" s="455">
        <f t="shared" si="22"/>
        <v>1179379.5678902147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7537521.1452553673</v>
      </c>
      <c r="E40" s="484">
        <f>IF(+I14&lt;F39,I14,D40)</f>
        <v>347991.33333333331</v>
      </c>
      <c r="F40" s="485">
        <f t="shared" si="20"/>
        <v>7189529.8119220342</v>
      </c>
      <c r="G40" s="486">
        <f t="shared" si="21"/>
        <v>1141862.1887134213</v>
      </c>
      <c r="H40" s="455">
        <f t="shared" si="22"/>
        <v>1141862.1887134213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7189529.8119220342</v>
      </c>
      <c r="E41" s="484">
        <f>IF(+I14&lt;F40,I14,D41)</f>
        <v>347991.33333333331</v>
      </c>
      <c r="F41" s="485">
        <f t="shared" si="20"/>
        <v>6841538.4785887012</v>
      </c>
      <c r="G41" s="486">
        <f t="shared" si="21"/>
        <v>1104344.8095366282</v>
      </c>
      <c r="H41" s="455">
        <f t="shared" si="22"/>
        <v>1104344.8095366282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6841538.4785887012</v>
      </c>
      <c r="E42" s="484">
        <f>IF(+I14&lt;F41,I14,D42)</f>
        <v>347991.33333333331</v>
      </c>
      <c r="F42" s="485">
        <f t="shared" si="20"/>
        <v>6493547.1452553682</v>
      </c>
      <c r="G42" s="486">
        <f t="shared" si="21"/>
        <v>1066827.4303598348</v>
      </c>
      <c r="H42" s="455">
        <f t="shared" si="22"/>
        <v>1066827.4303598348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6493547.1452553682</v>
      </c>
      <c r="E43" s="484">
        <f>IF(+I14&lt;F42,I14,D43)</f>
        <v>347991.33333333331</v>
      </c>
      <c r="F43" s="485">
        <f t="shared" si="20"/>
        <v>6145555.8119220352</v>
      </c>
      <c r="G43" s="486">
        <f t="shared" si="21"/>
        <v>1029310.0511830417</v>
      </c>
      <c r="H43" s="455">
        <f t="shared" si="22"/>
        <v>1029310.0511830417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6145555.8119220352</v>
      </c>
      <c r="E44" s="484">
        <f>IF(+I14&lt;F43,I14,D44)</f>
        <v>347991.33333333331</v>
      </c>
      <c r="F44" s="485">
        <f t="shared" si="20"/>
        <v>5797564.4785887022</v>
      </c>
      <c r="G44" s="486">
        <f t="shared" si="21"/>
        <v>991792.67200624826</v>
      </c>
      <c r="H44" s="455">
        <f t="shared" si="22"/>
        <v>991792.67200624826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5797564.4785887022</v>
      </c>
      <c r="E45" s="484">
        <f>IF(+I14&lt;F44,I14,D45)</f>
        <v>347991.33333333331</v>
      </c>
      <c r="F45" s="485">
        <f t="shared" si="20"/>
        <v>5449573.1452553691</v>
      </c>
      <c r="G45" s="486">
        <f t="shared" si="21"/>
        <v>954275.29282945511</v>
      </c>
      <c r="H45" s="455">
        <f t="shared" si="22"/>
        <v>954275.29282945511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5449573.1452553691</v>
      </c>
      <c r="E46" s="484">
        <f>IF(+I14&lt;F45,I14,D46)</f>
        <v>347991.33333333331</v>
      </c>
      <c r="F46" s="485">
        <f t="shared" si="20"/>
        <v>5101581.8119220361</v>
      </c>
      <c r="G46" s="486">
        <f t="shared" si="21"/>
        <v>916757.91365266172</v>
      </c>
      <c r="H46" s="455">
        <f t="shared" si="22"/>
        <v>916757.91365266172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5101581.8119220361</v>
      </c>
      <c r="E47" s="484">
        <f>IF(+I14&lt;F46,I14,D47)</f>
        <v>347991.33333333331</v>
      </c>
      <c r="F47" s="485">
        <f t="shared" si="20"/>
        <v>4753590.4785887031</v>
      </c>
      <c r="G47" s="486">
        <f t="shared" si="21"/>
        <v>879240.53447586857</v>
      </c>
      <c r="H47" s="455">
        <f t="shared" si="22"/>
        <v>879240.53447586857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4753590.4785887031</v>
      </c>
      <c r="E48" s="484">
        <f>IF(+I14&lt;F47,I14,D48)</f>
        <v>347991.33333333331</v>
      </c>
      <c r="F48" s="485">
        <f t="shared" si="20"/>
        <v>4405599.1452553701</v>
      </c>
      <c r="G48" s="486">
        <f t="shared" si="21"/>
        <v>841723.15529907518</v>
      </c>
      <c r="H48" s="455">
        <f t="shared" si="22"/>
        <v>841723.15529907518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4405599.1452553701</v>
      </c>
      <c r="E49" s="484">
        <f>IF(+I14&lt;F48,I14,D49)</f>
        <v>347991.33333333331</v>
      </c>
      <c r="F49" s="485">
        <f t="shared" si="20"/>
        <v>4057607.8119220366</v>
      </c>
      <c r="G49" s="486">
        <f t="shared" si="21"/>
        <v>804205.77612228179</v>
      </c>
      <c r="H49" s="455">
        <f t="shared" si="22"/>
        <v>804205.77612228179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3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4057607.8119220366</v>
      </c>
      <c r="E50" s="484">
        <f>IF(+I14&lt;F49,I14,D50)</f>
        <v>347991.33333333331</v>
      </c>
      <c r="F50" s="485">
        <f t="shared" si="20"/>
        <v>3709616.4785887031</v>
      </c>
      <c r="G50" s="486">
        <f t="shared" si="21"/>
        <v>766688.39694548864</v>
      </c>
      <c r="H50" s="455">
        <f t="shared" si="22"/>
        <v>766688.39694548864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3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3709616.4785887031</v>
      </c>
      <c r="E51" s="484">
        <f>IF(+I14&lt;F50,I14,D51)</f>
        <v>347991.33333333331</v>
      </c>
      <c r="F51" s="485">
        <f t="shared" si="20"/>
        <v>3361625.1452553696</v>
      </c>
      <c r="G51" s="486">
        <f t="shared" si="21"/>
        <v>729171.01776869525</v>
      </c>
      <c r="H51" s="455">
        <f t="shared" si="22"/>
        <v>729171.01776869525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3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3361625.1452553696</v>
      </c>
      <c r="E52" s="484">
        <f>IF(+I14&lt;F51,I14,D52)</f>
        <v>347991.33333333331</v>
      </c>
      <c r="F52" s="485">
        <f t="shared" si="20"/>
        <v>3013633.8119220361</v>
      </c>
      <c r="G52" s="486">
        <f t="shared" si="21"/>
        <v>691653.63859190186</v>
      </c>
      <c r="H52" s="455">
        <f t="shared" si="22"/>
        <v>691653.63859190186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3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3013633.8119220361</v>
      </c>
      <c r="E53" s="484">
        <f>IF(+I14&lt;F52,I14,D53)</f>
        <v>347991.33333333331</v>
      </c>
      <c r="F53" s="485">
        <f t="shared" si="20"/>
        <v>2665642.4785887026</v>
      </c>
      <c r="G53" s="486">
        <f t="shared" si="21"/>
        <v>654136.25941510859</v>
      </c>
      <c r="H53" s="455">
        <f t="shared" si="22"/>
        <v>654136.25941510859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3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2665642.4785887026</v>
      </c>
      <c r="E54" s="484">
        <f>IF(+I14&lt;F53,I14,D54)</f>
        <v>347991.33333333331</v>
      </c>
      <c r="F54" s="485">
        <f t="shared" si="20"/>
        <v>2317651.1452553691</v>
      </c>
      <c r="G54" s="486">
        <f t="shared" si="21"/>
        <v>616618.88023831532</v>
      </c>
      <c r="H54" s="455">
        <f t="shared" si="22"/>
        <v>616618.88023831532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3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2317651.1452553691</v>
      </c>
      <c r="E55" s="484">
        <f>IF(+I14&lt;F54,I14,D55)</f>
        <v>347991.33333333331</v>
      </c>
      <c r="F55" s="485">
        <f t="shared" si="20"/>
        <v>1969659.8119220359</v>
      </c>
      <c r="G55" s="486">
        <f t="shared" si="21"/>
        <v>579101.50106152194</v>
      </c>
      <c r="H55" s="455">
        <f t="shared" si="22"/>
        <v>579101.50106152194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3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1969659.8119220359</v>
      </c>
      <c r="E56" s="484">
        <f>IF(+I14&lt;F55,I14,D56)</f>
        <v>347991.33333333331</v>
      </c>
      <c r="F56" s="485">
        <f t="shared" si="20"/>
        <v>1621668.4785887026</v>
      </c>
      <c r="G56" s="486">
        <f t="shared" si="21"/>
        <v>541584.12188472867</v>
      </c>
      <c r="H56" s="455">
        <f t="shared" si="22"/>
        <v>541584.12188472867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3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1621668.4785887026</v>
      </c>
      <c r="E57" s="484">
        <f>IF(+I14&lt;F56,I14,D57)</f>
        <v>347991.33333333331</v>
      </c>
      <c r="F57" s="485">
        <f t="shared" si="20"/>
        <v>1273677.1452553694</v>
      </c>
      <c r="G57" s="486">
        <f t="shared" si="21"/>
        <v>504066.74270793539</v>
      </c>
      <c r="H57" s="455">
        <f t="shared" si="22"/>
        <v>504066.74270793539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3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1273677.1452553694</v>
      </c>
      <c r="E58" s="484">
        <f>IF(+I14&lt;F57,I14,D58)</f>
        <v>347991.33333333331</v>
      </c>
      <c r="F58" s="485">
        <f t="shared" si="20"/>
        <v>925685.81192203611</v>
      </c>
      <c r="G58" s="486">
        <f t="shared" si="21"/>
        <v>466549.36353114207</v>
      </c>
      <c r="H58" s="455">
        <f t="shared" si="22"/>
        <v>466549.36353114207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3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925685.81192203611</v>
      </c>
      <c r="E59" s="484">
        <f>IF(+I14&lt;F58,I14,D59)</f>
        <v>347991.33333333331</v>
      </c>
      <c r="F59" s="485">
        <f t="shared" si="20"/>
        <v>577694.47858870286</v>
      </c>
      <c r="G59" s="486">
        <f t="shared" si="21"/>
        <v>429031.9843543488</v>
      </c>
      <c r="H59" s="455">
        <f t="shared" si="22"/>
        <v>429031.9843543488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3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577694.47858870286</v>
      </c>
      <c r="E60" s="484">
        <f>IF(+I14&lt;F59,I14,D60)</f>
        <v>347991.33333333331</v>
      </c>
      <c r="F60" s="485">
        <f t="shared" si="20"/>
        <v>229703.14525536954</v>
      </c>
      <c r="G60" s="486">
        <f t="shared" si="21"/>
        <v>391514.60517755547</v>
      </c>
      <c r="H60" s="455">
        <f t="shared" si="22"/>
        <v>391514.60517755547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3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229703.14525536954</v>
      </c>
      <c r="E61" s="484">
        <f>IF(+I14&lt;F60,I14,D61)</f>
        <v>229703.14525536954</v>
      </c>
      <c r="F61" s="485">
        <f t="shared" si="20"/>
        <v>0</v>
      </c>
      <c r="G61" s="486">
        <f t="shared" si="21"/>
        <v>242085.4363832823</v>
      </c>
      <c r="H61" s="455">
        <f t="shared" si="22"/>
        <v>242085.4363832823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3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6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3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3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3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3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3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3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3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3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3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21"/>
        <v>0</v>
      </c>
      <c r="H72" s="490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3"/>
    </row>
    <row r="73" spans="2:16">
      <c r="C73" s="347" t="s">
        <v>77</v>
      </c>
      <c r="D73" s="348"/>
      <c r="E73" s="348">
        <f>SUM(E17:E72)</f>
        <v>14615636.000000007</v>
      </c>
      <c r="F73" s="348"/>
      <c r="G73" s="348">
        <f>SUM(G17:G72)</f>
        <v>54308878.92149201</v>
      </c>
      <c r="H73" s="348">
        <f>SUM(H17:H72)</f>
        <v>54308878.92149201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4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 t="str">
        <f>O4</f>
        <v>WFEC DA Adjustment</v>
      </c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IF(J92&lt;D11,0,VLOOKUP(J92,C17:O72,9))-P87</f>
        <v>1445071.5333333332</v>
      </c>
      <c r="N87" s="508">
        <f>IF(J92&lt;D11,0,VLOOKUP(J92,C17:O72,11))-P87</f>
        <v>1445071.5333333332</v>
      </c>
      <c r="O87" s="509">
        <f>+N87-M87</f>
        <v>0</v>
      </c>
      <c r="P87" s="343">
        <f>O5</f>
        <v>15688.800000000001</v>
      </c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IF(J92&lt;D11,0,VLOOKUP(J92,C99:P154,6))-P87</f>
        <v>1497429.8891439482</v>
      </c>
      <c r="N88" s="512">
        <f>IF(J92&lt;D11,0,VLOOKUP(J92,C99:P154,7))-P87</f>
        <v>1497429.8891439482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Cache-Snyder to Altus Jct. 138 kV line (w/2 ring bus stations)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52358.355810615001</v>
      </c>
      <c r="N89" s="517">
        <f>+N88-N87</f>
        <v>52358.355810615001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TP2004147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14615636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7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374760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560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114341</v>
      </c>
      <c r="F99" s="479">
        <v>14429811</v>
      </c>
      <c r="G99" s="537">
        <f t="shared" ref="G99:G130" si="27">+(F99+D99)/2</f>
        <v>7214905.5</v>
      </c>
      <c r="H99" s="538">
        <v>1260396</v>
      </c>
      <c r="I99" s="539">
        <v>1260396</v>
      </c>
      <c r="J99" s="478">
        <f t="shared" ref="J99:J131" si="28">+I99-H99</f>
        <v>0</v>
      </c>
      <c r="K99" s="478"/>
      <c r="L99" s="554">
        <v>1260396</v>
      </c>
      <c r="M99" s="477">
        <f t="shared" ref="M99:M130" si="29">IF(L99&lt;&gt;0,+H99-L99,0)</f>
        <v>0</v>
      </c>
      <c r="N99" s="554">
        <f>+L99</f>
        <v>1260396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14569170</v>
      </c>
      <c r="E100" s="480">
        <v>262206</v>
      </c>
      <c r="F100" s="479">
        <v>14306964</v>
      </c>
      <c r="G100" s="479">
        <v>14438067</v>
      </c>
      <c r="H100" s="480">
        <v>2373171</v>
      </c>
      <c r="I100" s="481">
        <v>2373171</v>
      </c>
      <c r="J100" s="478">
        <f t="shared" si="28"/>
        <v>0</v>
      </c>
      <c r="K100" s="478"/>
      <c r="L100" s="476">
        <f t="shared" ref="L100:L105" si="32">H100</f>
        <v>2373171</v>
      </c>
      <c r="M100" s="478">
        <f t="shared" si="29"/>
        <v>0</v>
      </c>
      <c r="N100" s="476">
        <f t="shared" ref="N100:N105" si="33">I100</f>
        <v>2373171</v>
      </c>
      <c r="O100" s="478">
        <f t="shared" si="30"/>
        <v>0</v>
      </c>
      <c r="P100" s="478">
        <f t="shared" si="31"/>
        <v>0</v>
      </c>
    </row>
    <row r="101" spans="1:16">
      <c r="B101" s="160" t="str">
        <f t="shared" ref="B101:B154" si="34">IF(D101=F100,"","IU")</f>
        <v>IU</v>
      </c>
      <c r="C101" s="472">
        <f>IF(D93="","-",+C100+1)</f>
        <v>2010</v>
      </c>
      <c r="D101" s="473">
        <v>14239089</v>
      </c>
      <c r="E101" s="480">
        <v>286581</v>
      </c>
      <c r="F101" s="479">
        <v>13952508</v>
      </c>
      <c r="G101" s="479">
        <v>14095798.5</v>
      </c>
      <c r="H101" s="480">
        <v>2553400</v>
      </c>
      <c r="I101" s="481">
        <v>2553400</v>
      </c>
      <c r="J101" s="478">
        <f t="shared" si="28"/>
        <v>0</v>
      </c>
      <c r="K101" s="478"/>
      <c r="L101" s="540">
        <f t="shared" si="32"/>
        <v>2553400</v>
      </c>
      <c r="M101" s="541">
        <f t="shared" si="29"/>
        <v>0</v>
      </c>
      <c r="N101" s="540">
        <f t="shared" si="33"/>
        <v>2553400</v>
      </c>
      <c r="O101" s="478">
        <f t="shared" si="30"/>
        <v>0</v>
      </c>
      <c r="P101" s="478">
        <f t="shared" si="31"/>
        <v>0</v>
      </c>
    </row>
    <row r="102" spans="1:16">
      <c r="B102" s="160" t="str">
        <f t="shared" si="34"/>
        <v/>
      </c>
      <c r="C102" s="472">
        <f>IF(D93="","-",+C101+1)</f>
        <v>2011</v>
      </c>
      <c r="D102" s="473">
        <v>13952508</v>
      </c>
      <c r="E102" s="480">
        <v>281070</v>
      </c>
      <c r="F102" s="479">
        <v>13671438</v>
      </c>
      <c r="G102" s="479">
        <v>13811973</v>
      </c>
      <c r="H102" s="480">
        <v>2212169</v>
      </c>
      <c r="I102" s="481">
        <v>2212169</v>
      </c>
      <c r="J102" s="478">
        <f t="shared" si="28"/>
        <v>0</v>
      </c>
      <c r="K102" s="478"/>
      <c r="L102" s="540">
        <f t="shared" si="32"/>
        <v>2212169</v>
      </c>
      <c r="M102" s="541">
        <f t="shared" si="29"/>
        <v>0</v>
      </c>
      <c r="N102" s="540">
        <f t="shared" si="33"/>
        <v>2212169</v>
      </c>
      <c r="O102" s="478">
        <f t="shared" si="30"/>
        <v>0</v>
      </c>
      <c r="P102" s="478">
        <f t="shared" si="31"/>
        <v>0</v>
      </c>
    </row>
    <row r="103" spans="1:16">
      <c r="B103" s="160" t="str">
        <f t="shared" si="34"/>
        <v/>
      </c>
      <c r="C103" s="472">
        <f>IF(D93="","-",+C102+1)</f>
        <v>2012</v>
      </c>
      <c r="D103" s="473">
        <v>13671438</v>
      </c>
      <c r="E103" s="480">
        <v>281070</v>
      </c>
      <c r="F103" s="479">
        <v>13390368</v>
      </c>
      <c r="G103" s="479">
        <v>13530903</v>
      </c>
      <c r="H103" s="480">
        <v>2227565</v>
      </c>
      <c r="I103" s="481">
        <v>2227565</v>
      </c>
      <c r="J103" s="478">
        <v>0</v>
      </c>
      <c r="K103" s="478"/>
      <c r="L103" s="540">
        <f t="shared" si="32"/>
        <v>2227565</v>
      </c>
      <c r="M103" s="541">
        <f t="shared" ref="M103:M108" si="35">IF(L103&lt;&gt;0,+H103-L103,0)</f>
        <v>0</v>
      </c>
      <c r="N103" s="540">
        <f t="shared" si="33"/>
        <v>2227565</v>
      </c>
      <c r="O103" s="478">
        <f t="shared" ref="O103:O108" si="36">IF(N103&lt;&gt;0,+I103-N103,0)</f>
        <v>0</v>
      </c>
      <c r="P103" s="478">
        <f t="shared" ref="P103:P108" si="37">+O103-M103</f>
        <v>0</v>
      </c>
    </row>
    <row r="104" spans="1:16">
      <c r="B104" s="160" t="str">
        <f t="shared" si="34"/>
        <v/>
      </c>
      <c r="C104" s="472">
        <f>IF(D93="","-",+C103+1)</f>
        <v>2013</v>
      </c>
      <c r="D104" s="473">
        <v>13390368</v>
      </c>
      <c r="E104" s="480">
        <v>281070</v>
      </c>
      <c r="F104" s="479">
        <v>13109298</v>
      </c>
      <c r="G104" s="479">
        <v>13249833</v>
      </c>
      <c r="H104" s="480">
        <v>2188246</v>
      </c>
      <c r="I104" s="481">
        <v>2188246</v>
      </c>
      <c r="J104" s="478">
        <v>0</v>
      </c>
      <c r="K104" s="478"/>
      <c r="L104" s="540">
        <f t="shared" si="32"/>
        <v>2188246</v>
      </c>
      <c r="M104" s="541">
        <f t="shared" si="35"/>
        <v>0</v>
      </c>
      <c r="N104" s="540">
        <f t="shared" si="33"/>
        <v>2188246</v>
      </c>
      <c r="O104" s="478">
        <f t="shared" si="36"/>
        <v>0</v>
      </c>
      <c r="P104" s="478">
        <f t="shared" si="37"/>
        <v>0</v>
      </c>
    </row>
    <row r="105" spans="1:16">
      <c r="B105" s="160" t="str">
        <f t="shared" si="34"/>
        <v/>
      </c>
      <c r="C105" s="472">
        <f>IF(D93="","-",+C104+1)</f>
        <v>2014</v>
      </c>
      <c r="D105" s="473">
        <v>13109298</v>
      </c>
      <c r="E105" s="480">
        <v>281070</v>
      </c>
      <c r="F105" s="479">
        <v>12828228</v>
      </c>
      <c r="G105" s="479">
        <v>12968763</v>
      </c>
      <c r="H105" s="480">
        <v>2104425</v>
      </c>
      <c r="I105" s="481">
        <v>2104425</v>
      </c>
      <c r="J105" s="478">
        <v>0</v>
      </c>
      <c r="K105" s="478"/>
      <c r="L105" s="540">
        <f t="shared" si="32"/>
        <v>2104425</v>
      </c>
      <c r="M105" s="541">
        <f t="shared" si="35"/>
        <v>0</v>
      </c>
      <c r="N105" s="540">
        <f t="shared" si="33"/>
        <v>2104425</v>
      </c>
      <c r="O105" s="478">
        <f t="shared" si="36"/>
        <v>0</v>
      </c>
      <c r="P105" s="478">
        <f t="shared" si="37"/>
        <v>0</v>
      </c>
    </row>
    <row r="106" spans="1:16">
      <c r="B106" s="160" t="str">
        <f t="shared" si="34"/>
        <v/>
      </c>
      <c r="C106" s="472">
        <f>IF(D93="","-",+C105+1)</f>
        <v>2015</v>
      </c>
      <c r="D106" s="473">
        <v>12828228</v>
      </c>
      <c r="E106" s="480">
        <v>281070</v>
      </c>
      <c r="F106" s="479">
        <v>12547158</v>
      </c>
      <c r="G106" s="479">
        <v>12687693</v>
      </c>
      <c r="H106" s="480">
        <v>2012204</v>
      </c>
      <c r="I106" s="481">
        <v>2012204</v>
      </c>
      <c r="J106" s="478">
        <f t="shared" si="28"/>
        <v>0</v>
      </c>
      <c r="K106" s="478"/>
      <c r="L106" s="540">
        <f t="shared" ref="L106:L111" si="38">H106</f>
        <v>2012204</v>
      </c>
      <c r="M106" s="541">
        <f t="shared" si="35"/>
        <v>0</v>
      </c>
      <c r="N106" s="540">
        <f t="shared" ref="N106:N111" si="39">I106</f>
        <v>2012204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4"/>
        <v/>
      </c>
      <c r="C107" s="472">
        <f>IF(D93="","-",+C106+1)</f>
        <v>2016</v>
      </c>
      <c r="D107" s="473">
        <v>12547158</v>
      </c>
      <c r="E107" s="480">
        <v>317731</v>
      </c>
      <c r="F107" s="479">
        <v>12229427</v>
      </c>
      <c r="G107" s="479">
        <v>12388292.5</v>
      </c>
      <c r="H107" s="480">
        <v>1914777</v>
      </c>
      <c r="I107" s="481">
        <v>1914777</v>
      </c>
      <c r="J107" s="478">
        <f t="shared" si="28"/>
        <v>0</v>
      </c>
      <c r="K107" s="478"/>
      <c r="L107" s="540">
        <f t="shared" si="38"/>
        <v>1914777</v>
      </c>
      <c r="M107" s="541">
        <f t="shared" si="35"/>
        <v>0</v>
      </c>
      <c r="N107" s="540">
        <f t="shared" si="39"/>
        <v>1914777</v>
      </c>
      <c r="O107" s="478">
        <f t="shared" si="36"/>
        <v>0</v>
      </c>
      <c r="P107" s="478">
        <f t="shared" si="37"/>
        <v>0</v>
      </c>
    </row>
    <row r="108" spans="1:16">
      <c r="B108" s="160" t="str">
        <f t="shared" si="34"/>
        <v/>
      </c>
      <c r="C108" s="472">
        <f>IF(D93="","-",+C107+1)</f>
        <v>2017</v>
      </c>
      <c r="D108" s="473">
        <v>12229427</v>
      </c>
      <c r="E108" s="480">
        <v>317731</v>
      </c>
      <c r="F108" s="479">
        <v>11911696</v>
      </c>
      <c r="G108" s="479">
        <v>12070561.5</v>
      </c>
      <c r="H108" s="480">
        <v>1848912</v>
      </c>
      <c r="I108" s="481">
        <v>1848912</v>
      </c>
      <c r="J108" s="478">
        <f t="shared" si="28"/>
        <v>0</v>
      </c>
      <c r="K108" s="478"/>
      <c r="L108" s="540">
        <f t="shared" si="38"/>
        <v>1848912</v>
      </c>
      <c r="M108" s="541">
        <f t="shared" si="35"/>
        <v>0</v>
      </c>
      <c r="N108" s="540">
        <f t="shared" si="39"/>
        <v>1848912</v>
      </c>
      <c r="O108" s="478">
        <f t="shared" si="36"/>
        <v>0</v>
      </c>
      <c r="P108" s="478">
        <f t="shared" si="37"/>
        <v>0</v>
      </c>
    </row>
    <row r="109" spans="1:16">
      <c r="B109" s="160" t="str">
        <f t="shared" si="34"/>
        <v/>
      </c>
      <c r="C109" s="472">
        <f>IF(D93="","-",+C108+1)</f>
        <v>2018</v>
      </c>
      <c r="D109" s="473">
        <v>11911696</v>
      </c>
      <c r="E109" s="480">
        <v>339899</v>
      </c>
      <c r="F109" s="479">
        <v>11571797</v>
      </c>
      <c r="G109" s="479">
        <v>11741746.5</v>
      </c>
      <c r="H109" s="480">
        <v>1546194</v>
      </c>
      <c r="I109" s="481">
        <v>1546194</v>
      </c>
      <c r="J109" s="478">
        <f t="shared" si="28"/>
        <v>0</v>
      </c>
      <c r="K109" s="478"/>
      <c r="L109" s="540">
        <f t="shared" si="38"/>
        <v>1546194</v>
      </c>
      <c r="M109" s="541">
        <f t="shared" ref="M109" si="40">IF(L109&lt;&gt;0,+H109-L109,0)</f>
        <v>0</v>
      </c>
      <c r="N109" s="540">
        <f t="shared" si="39"/>
        <v>1546194</v>
      </c>
      <c r="O109" s="478">
        <f t="shared" ref="O109" si="41">IF(N109&lt;&gt;0,+I109-N109,0)</f>
        <v>0</v>
      </c>
      <c r="P109" s="478">
        <f t="shared" ref="P109" si="42">+O109-M109</f>
        <v>0</v>
      </c>
    </row>
    <row r="110" spans="1:16">
      <c r="B110" s="160" t="str">
        <f t="shared" si="34"/>
        <v/>
      </c>
      <c r="C110" s="472">
        <f>IF(D93="","-",+C109+1)</f>
        <v>2019</v>
      </c>
      <c r="D110" s="473">
        <v>11571797</v>
      </c>
      <c r="E110" s="480">
        <v>356479</v>
      </c>
      <c r="F110" s="479">
        <v>11215318</v>
      </c>
      <c r="G110" s="479">
        <v>11393557.5</v>
      </c>
      <c r="H110" s="480">
        <v>1531315</v>
      </c>
      <c r="I110" s="481">
        <v>1531315</v>
      </c>
      <c r="J110" s="478">
        <f t="shared" si="28"/>
        <v>0</v>
      </c>
      <c r="K110" s="478"/>
      <c r="L110" s="540">
        <f t="shared" si="38"/>
        <v>1531315</v>
      </c>
      <c r="M110" s="541">
        <f t="shared" ref="M110" si="43">IF(L110&lt;&gt;0,+H110-L110,0)</f>
        <v>0</v>
      </c>
      <c r="N110" s="540">
        <f t="shared" si="39"/>
        <v>1531315</v>
      </c>
      <c r="O110" s="478">
        <f t="shared" si="30"/>
        <v>0</v>
      </c>
      <c r="P110" s="478">
        <f t="shared" si="31"/>
        <v>0</v>
      </c>
    </row>
    <row r="111" spans="1:16">
      <c r="B111" s="160" t="str">
        <f t="shared" si="34"/>
        <v/>
      </c>
      <c r="C111" s="472">
        <f>IF(D93="","-",+C110+1)</f>
        <v>2020</v>
      </c>
      <c r="D111" s="473">
        <v>11215318</v>
      </c>
      <c r="E111" s="480">
        <v>339899</v>
      </c>
      <c r="F111" s="479">
        <v>10875419</v>
      </c>
      <c r="G111" s="479">
        <v>11045368.5</v>
      </c>
      <c r="H111" s="480">
        <v>1613399.6213131989</v>
      </c>
      <c r="I111" s="481">
        <v>1613399.6213131989</v>
      </c>
      <c r="J111" s="478">
        <f t="shared" si="28"/>
        <v>0</v>
      </c>
      <c r="K111" s="478"/>
      <c r="L111" s="540">
        <f t="shared" si="38"/>
        <v>1613399.6213131989</v>
      </c>
      <c r="M111" s="541">
        <f t="shared" ref="M111" si="44">IF(L111&lt;&gt;0,+H111-L111,0)</f>
        <v>0</v>
      </c>
      <c r="N111" s="540">
        <f t="shared" si="39"/>
        <v>1613399.6213131989</v>
      </c>
      <c r="O111" s="478">
        <f t="shared" si="30"/>
        <v>0</v>
      </c>
      <c r="P111" s="478">
        <f t="shared" si="31"/>
        <v>0</v>
      </c>
    </row>
    <row r="112" spans="1:16">
      <c r="B112" s="160" t="str">
        <f t="shared" si="34"/>
        <v/>
      </c>
      <c r="C112" s="472">
        <f>IF(D93="","-",+C111+1)</f>
        <v>2021</v>
      </c>
      <c r="D112" s="473">
        <v>10875419</v>
      </c>
      <c r="E112" s="480">
        <v>356479</v>
      </c>
      <c r="F112" s="479">
        <v>10518940</v>
      </c>
      <c r="G112" s="479">
        <v>10697179.5</v>
      </c>
      <c r="H112" s="480">
        <v>1573740.9328639174</v>
      </c>
      <c r="I112" s="481">
        <v>1573740.9328639174</v>
      </c>
      <c r="J112" s="478">
        <f t="shared" si="28"/>
        <v>0</v>
      </c>
      <c r="K112" s="478"/>
      <c r="L112" s="540">
        <f t="shared" ref="L112" si="45">H112</f>
        <v>1573740.9328639174</v>
      </c>
      <c r="M112" s="541">
        <f t="shared" ref="M112" si="46">IF(L112&lt;&gt;0,+H112-L112,0)</f>
        <v>0</v>
      </c>
      <c r="N112" s="540">
        <f t="shared" ref="N112" si="47">I112</f>
        <v>1573740.9328639174</v>
      </c>
      <c r="O112" s="478">
        <f t="shared" si="30"/>
        <v>0</v>
      </c>
      <c r="P112" s="478">
        <f t="shared" si="31"/>
        <v>0</v>
      </c>
    </row>
    <row r="113" spans="2:16">
      <c r="B113" s="160" t="str">
        <f t="shared" si="34"/>
        <v/>
      </c>
      <c r="C113" s="472">
        <f>IF(D93="","-",+C112+1)</f>
        <v>2022</v>
      </c>
      <c r="D113" s="347">
        <f>IF(F112+SUM(E$99:E112)=D$92,F112,D$92-SUM(E$99:E112))</f>
        <v>10518940</v>
      </c>
      <c r="E113" s="486">
        <f>IF(+J96&lt;F112,J96,D113)</f>
        <v>374760</v>
      </c>
      <c r="F113" s="485">
        <f t="shared" ref="F113:F130" si="48">+D113-E113</f>
        <v>10144180</v>
      </c>
      <c r="G113" s="485">
        <f t="shared" si="27"/>
        <v>10331560</v>
      </c>
      <c r="H113" s="486">
        <f t="shared" ref="H113:H154" si="49">(D113+F113)/2*J$94+E113</f>
        <v>1513118.6891439483</v>
      </c>
      <c r="I113" s="542">
        <f t="shared" ref="I113:I153" si="50">+J$95*G113+E113</f>
        <v>1513118.6891439483</v>
      </c>
      <c r="J113" s="478">
        <f t="shared" si="28"/>
        <v>0</v>
      </c>
      <c r="K113" s="478"/>
      <c r="L113" s="487"/>
      <c r="M113" s="478">
        <f t="shared" si="29"/>
        <v>0</v>
      </c>
      <c r="N113" s="487"/>
      <c r="O113" s="478">
        <f t="shared" si="30"/>
        <v>0</v>
      </c>
      <c r="P113" s="478">
        <f t="shared" si="31"/>
        <v>0</v>
      </c>
    </row>
    <row r="114" spans="2:16">
      <c r="B114" s="160" t="str">
        <f t="shared" si="34"/>
        <v/>
      </c>
      <c r="C114" s="472">
        <f>IF(D93="","-",+C113+1)</f>
        <v>2023</v>
      </c>
      <c r="D114" s="347">
        <f>IF(F113+SUM(E$99:E113)=D$92,F113,D$92-SUM(E$99:E113))</f>
        <v>10144180</v>
      </c>
      <c r="E114" s="486">
        <f>IF(+J96&lt;F113,J96,D114)</f>
        <v>374760</v>
      </c>
      <c r="F114" s="485">
        <f t="shared" si="48"/>
        <v>9769420</v>
      </c>
      <c r="G114" s="485">
        <f t="shared" si="27"/>
        <v>9956800</v>
      </c>
      <c r="H114" s="486">
        <f t="shared" si="49"/>
        <v>1471826.6381522696</v>
      </c>
      <c r="I114" s="542">
        <f t="shared" si="50"/>
        <v>1471826.6381522696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>
      <c r="B115" s="160" t="str">
        <f t="shared" si="34"/>
        <v/>
      </c>
      <c r="C115" s="472">
        <f>IF(D93="","-",+C114+1)</f>
        <v>2024</v>
      </c>
      <c r="D115" s="347">
        <f>IF(F114+SUM(E$99:E114)=D$92,F114,D$92-SUM(E$99:E114))</f>
        <v>9769420</v>
      </c>
      <c r="E115" s="486">
        <f>IF(+J96&lt;F114,J96,D115)</f>
        <v>374760</v>
      </c>
      <c r="F115" s="485">
        <f t="shared" si="48"/>
        <v>9394660</v>
      </c>
      <c r="G115" s="485">
        <f t="shared" si="27"/>
        <v>9582040</v>
      </c>
      <c r="H115" s="486">
        <f t="shared" si="49"/>
        <v>1430534.5871605913</v>
      </c>
      <c r="I115" s="542">
        <f t="shared" si="50"/>
        <v>1430534.5871605913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>
      <c r="B116" s="160" t="str">
        <f t="shared" si="34"/>
        <v/>
      </c>
      <c r="C116" s="472">
        <f>IF(D93="","-",+C115+1)</f>
        <v>2025</v>
      </c>
      <c r="D116" s="347">
        <f>IF(F115+SUM(E$99:E115)=D$92,F115,D$92-SUM(E$99:E115))</f>
        <v>9394660</v>
      </c>
      <c r="E116" s="486">
        <f>IF(+J96&lt;F115,J96,D116)</f>
        <v>374760</v>
      </c>
      <c r="F116" s="485">
        <f t="shared" si="48"/>
        <v>9019900</v>
      </c>
      <c r="G116" s="485">
        <f t="shared" si="27"/>
        <v>9207280</v>
      </c>
      <c r="H116" s="486">
        <f t="shared" si="49"/>
        <v>1389242.5361689127</v>
      </c>
      <c r="I116" s="542">
        <f t="shared" si="50"/>
        <v>1389242.5361689127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>
      <c r="B117" s="160" t="str">
        <f t="shared" si="34"/>
        <v/>
      </c>
      <c r="C117" s="472">
        <f>IF(D93="","-",+C116+1)</f>
        <v>2026</v>
      </c>
      <c r="D117" s="347">
        <f>IF(F116+SUM(E$99:E116)=D$92,F116,D$92-SUM(E$99:E116))</f>
        <v>9019900</v>
      </c>
      <c r="E117" s="486">
        <f>IF(+J96&lt;F116,J96,D117)</f>
        <v>374760</v>
      </c>
      <c r="F117" s="485">
        <f t="shared" si="48"/>
        <v>8645140</v>
      </c>
      <c r="G117" s="485">
        <f t="shared" si="27"/>
        <v>8832520</v>
      </c>
      <c r="H117" s="486">
        <f t="shared" si="49"/>
        <v>1347950.4851772343</v>
      </c>
      <c r="I117" s="542">
        <f t="shared" si="50"/>
        <v>1347950.4851772343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>
      <c r="B118" s="160" t="str">
        <f t="shared" si="34"/>
        <v/>
      </c>
      <c r="C118" s="472">
        <f>IF(D93="","-",+C117+1)</f>
        <v>2027</v>
      </c>
      <c r="D118" s="347">
        <f>IF(F117+SUM(E$99:E117)=D$92,F117,D$92-SUM(E$99:E117))</f>
        <v>8645140</v>
      </c>
      <c r="E118" s="486">
        <f>IF(+J96&lt;F117,J96,D118)</f>
        <v>374760</v>
      </c>
      <c r="F118" s="485">
        <f t="shared" si="48"/>
        <v>8270380</v>
      </c>
      <c r="G118" s="485">
        <f t="shared" si="27"/>
        <v>8457760</v>
      </c>
      <c r="H118" s="486">
        <f t="shared" si="49"/>
        <v>1306658.4341855557</v>
      </c>
      <c r="I118" s="542">
        <f t="shared" si="50"/>
        <v>1306658.4341855557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>
      <c r="B119" s="160" t="str">
        <f t="shared" si="34"/>
        <v/>
      </c>
      <c r="C119" s="472">
        <f>IF(D93="","-",+C118+1)</f>
        <v>2028</v>
      </c>
      <c r="D119" s="347">
        <f>IF(F118+SUM(E$99:E118)=D$92,F118,D$92-SUM(E$99:E118))</f>
        <v>8270380</v>
      </c>
      <c r="E119" s="486">
        <f>IF(+J96&lt;F118,J96,D119)</f>
        <v>374760</v>
      </c>
      <c r="F119" s="485">
        <f t="shared" si="48"/>
        <v>7895620</v>
      </c>
      <c r="G119" s="485">
        <f t="shared" si="27"/>
        <v>8083000</v>
      </c>
      <c r="H119" s="486">
        <f t="shared" si="49"/>
        <v>1265366.3831938771</v>
      </c>
      <c r="I119" s="542">
        <f t="shared" si="50"/>
        <v>1265366.3831938771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>
      <c r="B120" s="160" t="str">
        <f t="shared" si="34"/>
        <v/>
      </c>
      <c r="C120" s="472">
        <f>IF(D93="","-",+C119+1)</f>
        <v>2029</v>
      </c>
      <c r="D120" s="347">
        <f>IF(F119+SUM(E$99:E119)=D$92,F119,D$92-SUM(E$99:E119))</f>
        <v>7895620</v>
      </c>
      <c r="E120" s="486">
        <f>IF(+J96&lt;F119,J96,D120)</f>
        <v>374760</v>
      </c>
      <c r="F120" s="485">
        <f t="shared" si="48"/>
        <v>7520860</v>
      </c>
      <c r="G120" s="485">
        <f t="shared" si="27"/>
        <v>7708240</v>
      </c>
      <c r="H120" s="486">
        <f t="shared" si="49"/>
        <v>1224074.3322021987</v>
      </c>
      <c r="I120" s="542">
        <f t="shared" si="50"/>
        <v>1224074.3322021987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>
      <c r="B121" s="160" t="str">
        <f t="shared" si="34"/>
        <v/>
      </c>
      <c r="C121" s="472">
        <f>IF(D93="","-",+C120+1)</f>
        <v>2030</v>
      </c>
      <c r="D121" s="347">
        <f>IF(F120+SUM(E$99:E120)=D$92,F120,D$92-SUM(E$99:E120))</f>
        <v>7520860</v>
      </c>
      <c r="E121" s="486">
        <f>IF(+J96&lt;F120,J96,D121)</f>
        <v>374760</v>
      </c>
      <c r="F121" s="485">
        <f t="shared" si="48"/>
        <v>7146100</v>
      </c>
      <c r="G121" s="485">
        <f t="shared" si="27"/>
        <v>7333480</v>
      </c>
      <c r="H121" s="486">
        <f t="shared" si="49"/>
        <v>1182782.2812105203</v>
      </c>
      <c r="I121" s="542">
        <f t="shared" si="50"/>
        <v>1182782.2812105203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>
      <c r="B122" s="160" t="str">
        <f t="shared" si="34"/>
        <v/>
      </c>
      <c r="C122" s="472">
        <f>IF(D93="","-",+C121+1)</f>
        <v>2031</v>
      </c>
      <c r="D122" s="347">
        <f>IF(F121+SUM(E$99:E121)=D$92,F121,D$92-SUM(E$99:E121))</f>
        <v>7146100</v>
      </c>
      <c r="E122" s="486">
        <f>IF(+J96&lt;F121,J96,D122)</f>
        <v>374760</v>
      </c>
      <c r="F122" s="485">
        <f t="shared" si="48"/>
        <v>6771340</v>
      </c>
      <c r="G122" s="485">
        <f t="shared" si="27"/>
        <v>6958720</v>
      </c>
      <c r="H122" s="486">
        <f t="shared" si="49"/>
        <v>1141490.2302188417</v>
      </c>
      <c r="I122" s="542">
        <f t="shared" si="50"/>
        <v>1141490.2302188417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>
      <c r="B123" s="160" t="str">
        <f t="shared" si="34"/>
        <v/>
      </c>
      <c r="C123" s="472">
        <f>IF(D93="","-",+C122+1)</f>
        <v>2032</v>
      </c>
      <c r="D123" s="347">
        <f>IF(F122+SUM(E$99:E122)=D$92,F122,D$92-SUM(E$99:E122))</f>
        <v>6771340</v>
      </c>
      <c r="E123" s="486">
        <f>IF(+J96&lt;F122,J96,D123)</f>
        <v>374760</v>
      </c>
      <c r="F123" s="485">
        <f t="shared" si="48"/>
        <v>6396580</v>
      </c>
      <c r="G123" s="485">
        <f t="shared" si="27"/>
        <v>6583960</v>
      </c>
      <c r="H123" s="486">
        <f t="shared" si="49"/>
        <v>1100198.1792271631</v>
      </c>
      <c r="I123" s="542">
        <f t="shared" si="50"/>
        <v>1100198.1792271631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>
      <c r="B124" s="160" t="str">
        <f t="shared" si="34"/>
        <v/>
      </c>
      <c r="C124" s="472">
        <f>IF(D93="","-",+C123+1)</f>
        <v>2033</v>
      </c>
      <c r="D124" s="347">
        <f>IF(F123+SUM(E$99:E123)=D$92,F123,D$92-SUM(E$99:E123))</f>
        <v>6396580</v>
      </c>
      <c r="E124" s="486">
        <f>IF(+J96&lt;F123,J96,D124)</f>
        <v>374760</v>
      </c>
      <c r="F124" s="485">
        <f t="shared" si="48"/>
        <v>6021820</v>
      </c>
      <c r="G124" s="485">
        <f t="shared" si="27"/>
        <v>6209200</v>
      </c>
      <c r="H124" s="486">
        <f t="shared" si="49"/>
        <v>1058906.1282354845</v>
      </c>
      <c r="I124" s="542">
        <f t="shared" si="50"/>
        <v>1058906.1282354845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>
      <c r="B125" s="160" t="str">
        <f t="shared" si="34"/>
        <v/>
      </c>
      <c r="C125" s="472">
        <f>IF(D93="","-",+C124+1)</f>
        <v>2034</v>
      </c>
      <c r="D125" s="347">
        <f>IF(F124+SUM(E$99:E124)=D$92,F124,D$92-SUM(E$99:E124))</f>
        <v>6021820</v>
      </c>
      <c r="E125" s="486">
        <f>IF(+J96&lt;F124,J96,D125)</f>
        <v>374760</v>
      </c>
      <c r="F125" s="485">
        <f t="shared" si="48"/>
        <v>5647060</v>
      </c>
      <c r="G125" s="485">
        <f t="shared" si="27"/>
        <v>5834440</v>
      </c>
      <c r="H125" s="486">
        <f t="shared" si="49"/>
        <v>1017614.0772438061</v>
      </c>
      <c r="I125" s="542">
        <f t="shared" si="50"/>
        <v>1017614.0772438061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>
      <c r="B126" s="160" t="str">
        <f t="shared" si="34"/>
        <v/>
      </c>
      <c r="C126" s="472">
        <f>IF(D93="","-",+C125+1)</f>
        <v>2035</v>
      </c>
      <c r="D126" s="347">
        <f>IF(F125+SUM(E$99:E125)=D$92,F125,D$92-SUM(E$99:E125))</f>
        <v>5647060</v>
      </c>
      <c r="E126" s="486">
        <f>IF(+J96&lt;F125,J96,D126)</f>
        <v>374760</v>
      </c>
      <c r="F126" s="485">
        <f t="shared" si="48"/>
        <v>5272300</v>
      </c>
      <c r="G126" s="485">
        <f t="shared" si="27"/>
        <v>5459680</v>
      </c>
      <c r="H126" s="486">
        <f t="shared" si="49"/>
        <v>976322.0262521276</v>
      </c>
      <c r="I126" s="542">
        <f t="shared" si="50"/>
        <v>976322.0262521276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>
      <c r="B127" s="160" t="str">
        <f t="shared" si="34"/>
        <v/>
      </c>
      <c r="C127" s="472">
        <f>IF(D93="","-",+C126+1)</f>
        <v>2036</v>
      </c>
      <c r="D127" s="347">
        <f>IF(F126+SUM(E$99:E126)=D$92,F126,D$92-SUM(E$99:E126))</f>
        <v>5272300</v>
      </c>
      <c r="E127" s="486">
        <f>IF(+J96&lt;F126,J96,D127)</f>
        <v>374760</v>
      </c>
      <c r="F127" s="485">
        <f t="shared" si="48"/>
        <v>4897540</v>
      </c>
      <c r="G127" s="485">
        <f t="shared" si="27"/>
        <v>5084920</v>
      </c>
      <c r="H127" s="486">
        <f t="shared" si="49"/>
        <v>935029.97526044911</v>
      </c>
      <c r="I127" s="542">
        <f t="shared" si="50"/>
        <v>935029.97526044911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>
      <c r="B128" s="160" t="str">
        <f t="shared" si="34"/>
        <v/>
      </c>
      <c r="C128" s="472">
        <f>IF(D93="","-",+C127+1)</f>
        <v>2037</v>
      </c>
      <c r="D128" s="347">
        <f>IF(F127+SUM(E$99:E127)=D$92,F127,D$92-SUM(E$99:E127))</f>
        <v>4897540</v>
      </c>
      <c r="E128" s="486">
        <f>IF(+J96&lt;F127,J96,D128)</f>
        <v>374760</v>
      </c>
      <c r="F128" s="485">
        <f t="shared" si="48"/>
        <v>4522780</v>
      </c>
      <c r="G128" s="485">
        <f t="shared" si="27"/>
        <v>4710160</v>
      </c>
      <c r="H128" s="486">
        <f t="shared" si="49"/>
        <v>893737.9242687705</v>
      </c>
      <c r="I128" s="542">
        <f t="shared" si="50"/>
        <v>893737.9242687705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>
      <c r="B129" s="160" t="str">
        <f t="shared" si="34"/>
        <v/>
      </c>
      <c r="C129" s="472">
        <f>IF(D93="","-",+C128+1)</f>
        <v>2038</v>
      </c>
      <c r="D129" s="347">
        <f>IF(F128+SUM(E$99:E128)=D$92,F128,D$92-SUM(E$99:E128))</f>
        <v>4522780</v>
      </c>
      <c r="E129" s="486">
        <f>IF(+J96&lt;F128,J96,D129)</f>
        <v>374760</v>
      </c>
      <c r="F129" s="485">
        <f t="shared" si="48"/>
        <v>4148020</v>
      </c>
      <c r="G129" s="485">
        <f t="shared" si="27"/>
        <v>4335400</v>
      </c>
      <c r="H129" s="486">
        <f t="shared" si="49"/>
        <v>852445.87327709212</v>
      </c>
      <c r="I129" s="542">
        <f t="shared" si="50"/>
        <v>852445.87327709212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>
      <c r="B130" s="160" t="str">
        <f t="shared" si="34"/>
        <v/>
      </c>
      <c r="C130" s="472">
        <f>IF(D93="","-",+C129+1)</f>
        <v>2039</v>
      </c>
      <c r="D130" s="347">
        <f>IF(F129+SUM(E$99:E129)=D$92,F129,D$92-SUM(E$99:E129))</f>
        <v>4148020</v>
      </c>
      <c r="E130" s="486">
        <f>IF(+J96&lt;F129,J96,D130)</f>
        <v>374760</v>
      </c>
      <c r="F130" s="485">
        <f t="shared" si="48"/>
        <v>3773260</v>
      </c>
      <c r="G130" s="485">
        <f t="shared" si="27"/>
        <v>3960640</v>
      </c>
      <c r="H130" s="486">
        <f t="shared" si="49"/>
        <v>811153.82228541351</v>
      </c>
      <c r="I130" s="542">
        <f t="shared" si="50"/>
        <v>811153.82228541351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>
      <c r="B131" s="160" t="str">
        <f t="shared" si="34"/>
        <v/>
      </c>
      <c r="C131" s="472">
        <f>IF(D93="","-",+C130+1)</f>
        <v>2040</v>
      </c>
      <c r="D131" s="347">
        <f>IF(F130+SUM(E$99:E130)=D$92,F130,D$92-SUM(E$99:E130))</f>
        <v>3773260</v>
      </c>
      <c r="E131" s="486">
        <f>IF(+J96&lt;F130,J96,D131)</f>
        <v>374760</v>
      </c>
      <c r="F131" s="485">
        <f t="shared" ref="F131:F154" si="51">+D131-E131</f>
        <v>3398500</v>
      </c>
      <c r="G131" s="485">
        <f t="shared" ref="G131:G154" si="52">+(F131+D131)/2</f>
        <v>3585880</v>
      </c>
      <c r="H131" s="486">
        <f t="shared" si="49"/>
        <v>769861.77129373502</v>
      </c>
      <c r="I131" s="542">
        <f t="shared" si="50"/>
        <v>769861.77129373502</v>
      </c>
      <c r="J131" s="478">
        <f t="shared" si="28"/>
        <v>0</v>
      </c>
      <c r="K131" s="478"/>
      <c r="L131" s="487"/>
      <c r="M131" s="478">
        <f t="shared" ref="M131:M154" si="53">IF(L131&lt;&gt;0,+H131-L131,0)</f>
        <v>0</v>
      </c>
      <c r="N131" s="487"/>
      <c r="O131" s="478">
        <f t="shared" ref="O131:O154" si="54">IF(N131&lt;&gt;0,+I131-N131,0)</f>
        <v>0</v>
      </c>
      <c r="P131" s="478">
        <f t="shared" ref="P131:P154" si="55">+O131-M131</f>
        <v>0</v>
      </c>
    </row>
    <row r="132" spans="2:16">
      <c r="B132" s="160" t="str">
        <f t="shared" si="34"/>
        <v/>
      </c>
      <c r="C132" s="472">
        <f>IF(D93="","-",+C131+1)</f>
        <v>2041</v>
      </c>
      <c r="D132" s="347">
        <f>IF(F131+SUM(E$99:E131)=D$92,F131,D$92-SUM(E$99:E131))</f>
        <v>3398500</v>
      </c>
      <c r="E132" s="486">
        <f>IF(+J96&lt;F131,J96,D132)</f>
        <v>374760</v>
      </c>
      <c r="F132" s="485">
        <f t="shared" si="51"/>
        <v>3023740</v>
      </c>
      <c r="G132" s="485">
        <f t="shared" si="52"/>
        <v>3211120</v>
      </c>
      <c r="H132" s="486">
        <f t="shared" si="49"/>
        <v>728569.72030205652</v>
      </c>
      <c r="I132" s="542">
        <f t="shared" si="50"/>
        <v>728569.72030205652</v>
      </c>
      <c r="J132" s="478">
        <f t="shared" ref="J132:J154" si="56">+I132-H132</f>
        <v>0</v>
      </c>
      <c r="K132" s="478"/>
      <c r="L132" s="487"/>
      <c r="M132" s="478">
        <f t="shared" si="53"/>
        <v>0</v>
      </c>
      <c r="N132" s="487"/>
      <c r="O132" s="478">
        <f t="shared" si="54"/>
        <v>0</v>
      </c>
      <c r="P132" s="478">
        <f t="shared" si="55"/>
        <v>0</v>
      </c>
    </row>
    <row r="133" spans="2:16">
      <c r="B133" s="160" t="str">
        <f t="shared" si="34"/>
        <v/>
      </c>
      <c r="C133" s="472">
        <f>IF(D93="","-",+C132+1)</f>
        <v>2042</v>
      </c>
      <c r="D133" s="347">
        <f>IF(F132+SUM(E$99:E132)=D$92,F132,D$92-SUM(E$99:E132))</f>
        <v>3023740</v>
      </c>
      <c r="E133" s="486">
        <f>IF(+J96&lt;F132,J96,D133)</f>
        <v>374760</v>
      </c>
      <c r="F133" s="485">
        <f t="shared" si="51"/>
        <v>2648980</v>
      </c>
      <c r="G133" s="485">
        <f t="shared" si="52"/>
        <v>2836360</v>
      </c>
      <c r="H133" s="486">
        <f t="shared" si="49"/>
        <v>687277.66931037803</v>
      </c>
      <c r="I133" s="542">
        <f t="shared" si="50"/>
        <v>687277.66931037803</v>
      </c>
      <c r="J133" s="478">
        <f t="shared" si="56"/>
        <v>0</v>
      </c>
      <c r="K133" s="478"/>
      <c r="L133" s="487"/>
      <c r="M133" s="478">
        <f t="shared" si="53"/>
        <v>0</v>
      </c>
      <c r="N133" s="487"/>
      <c r="O133" s="478">
        <f t="shared" si="54"/>
        <v>0</v>
      </c>
      <c r="P133" s="478">
        <f t="shared" si="55"/>
        <v>0</v>
      </c>
    </row>
    <row r="134" spans="2:16">
      <c r="B134" s="160" t="str">
        <f t="shared" si="34"/>
        <v/>
      </c>
      <c r="C134" s="472">
        <f>IF(D93="","-",+C133+1)</f>
        <v>2043</v>
      </c>
      <c r="D134" s="347">
        <f>IF(F133+SUM(E$99:E133)=D$92,F133,D$92-SUM(E$99:E133))</f>
        <v>2648980</v>
      </c>
      <c r="E134" s="486">
        <f>IF(+J96&lt;F133,J96,D134)</f>
        <v>374760</v>
      </c>
      <c r="F134" s="485">
        <f t="shared" si="51"/>
        <v>2274220</v>
      </c>
      <c r="G134" s="485">
        <f t="shared" si="52"/>
        <v>2461600</v>
      </c>
      <c r="H134" s="486">
        <f t="shared" si="49"/>
        <v>645985.61831869953</v>
      </c>
      <c r="I134" s="542">
        <f t="shared" si="50"/>
        <v>645985.61831869953</v>
      </c>
      <c r="J134" s="478">
        <f t="shared" si="56"/>
        <v>0</v>
      </c>
      <c r="K134" s="478"/>
      <c r="L134" s="487"/>
      <c r="M134" s="478">
        <f t="shared" si="53"/>
        <v>0</v>
      </c>
      <c r="N134" s="487"/>
      <c r="O134" s="478">
        <f t="shared" si="54"/>
        <v>0</v>
      </c>
      <c r="P134" s="478">
        <f t="shared" si="55"/>
        <v>0</v>
      </c>
    </row>
    <row r="135" spans="2:16">
      <c r="B135" s="160" t="str">
        <f t="shared" si="34"/>
        <v/>
      </c>
      <c r="C135" s="472">
        <f>IF(D93="","-",+C134+1)</f>
        <v>2044</v>
      </c>
      <c r="D135" s="347">
        <f>IF(F134+SUM(E$99:E134)=D$92,F134,D$92-SUM(E$99:E134))</f>
        <v>2274220</v>
      </c>
      <c r="E135" s="486">
        <f>IF(+J96&lt;F134,J96,D135)</f>
        <v>374760</v>
      </c>
      <c r="F135" s="485">
        <f t="shared" si="51"/>
        <v>1899460</v>
      </c>
      <c r="G135" s="485">
        <f t="shared" si="52"/>
        <v>2086840</v>
      </c>
      <c r="H135" s="486">
        <f t="shared" si="49"/>
        <v>604693.56732702092</v>
      </c>
      <c r="I135" s="542">
        <f t="shared" si="50"/>
        <v>604693.56732702092</v>
      </c>
      <c r="J135" s="478">
        <f t="shared" si="56"/>
        <v>0</v>
      </c>
      <c r="K135" s="478"/>
      <c r="L135" s="487"/>
      <c r="M135" s="478">
        <f t="shared" si="53"/>
        <v>0</v>
      </c>
      <c r="N135" s="487"/>
      <c r="O135" s="478">
        <f t="shared" si="54"/>
        <v>0</v>
      </c>
      <c r="P135" s="478">
        <f t="shared" si="55"/>
        <v>0</v>
      </c>
    </row>
    <row r="136" spans="2:16">
      <c r="B136" s="160" t="str">
        <f t="shared" si="34"/>
        <v/>
      </c>
      <c r="C136" s="472">
        <f>IF(D93="","-",+C135+1)</f>
        <v>2045</v>
      </c>
      <c r="D136" s="347">
        <f>IF(F135+SUM(E$99:E135)=D$92,F135,D$92-SUM(E$99:E135))</f>
        <v>1899460</v>
      </c>
      <c r="E136" s="486">
        <f>IF(+J96&lt;F135,J96,D136)</f>
        <v>374760</v>
      </c>
      <c r="F136" s="485">
        <f t="shared" si="51"/>
        <v>1524700</v>
      </c>
      <c r="G136" s="485">
        <f t="shared" si="52"/>
        <v>1712080</v>
      </c>
      <c r="H136" s="486">
        <f t="shared" si="49"/>
        <v>563401.51633534255</v>
      </c>
      <c r="I136" s="542">
        <f t="shared" si="50"/>
        <v>563401.51633534255</v>
      </c>
      <c r="J136" s="478">
        <f t="shared" si="56"/>
        <v>0</v>
      </c>
      <c r="K136" s="478"/>
      <c r="L136" s="487"/>
      <c r="M136" s="478">
        <f t="shared" si="53"/>
        <v>0</v>
      </c>
      <c r="N136" s="487"/>
      <c r="O136" s="478">
        <f t="shared" si="54"/>
        <v>0</v>
      </c>
      <c r="P136" s="478">
        <f t="shared" si="55"/>
        <v>0</v>
      </c>
    </row>
    <row r="137" spans="2:16">
      <c r="B137" s="160" t="str">
        <f t="shared" si="34"/>
        <v/>
      </c>
      <c r="C137" s="472">
        <f>IF(D93="","-",+C136+1)</f>
        <v>2046</v>
      </c>
      <c r="D137" s="347">
        <f>IF(F136+SUM(E$99:E136)=D$92,F136,D$92-SUM(E$99:E136))</f>
        <v>1524700</v>
      </c>
      <c r="E137" s="486">
        <f>IF(+J96&lt;F136,J96,D137)</f>
        <v>374760</v>
      </c>
      <c r="F137" s="485">
        <f t="shared" si="51"/>
        <v>1149940</v>
      </c>
      <c r="G137" s="485">
        <f t="shared" si="52"/>
        <v>1337320</v>
      </c>
      <c r="H137" s="486">
        <f t="shared" si="49"/>
        <v>522109.46534366393</v>
      </c>
      <c r="I137" s="542">
        <f t="shared" si="50"/>
        <v>522109.46534366393</v>
      </c>
      <c r="J137" s="478">
        <f t="shared" si="56"/>
        <v>0</v>
      </c>
      <c r="K137" s="478"/>
      <c r="L137" s="487"/>
      <c r="M137" s="478">
        <f t="shared" si="53"/>
        <v>0</v>
      </c>
      <c r="N137" s="487"/>
      <c r="O137" s="478">
        <f t="shared" si="54"/>
        <v>0</v>
      </c>
      <c r="P137" s="478">
        <f t="shared" si="55"/>
        <v>0</v>
      </c>
    </row>
    <row r="138" spans="2:16">
      <c r="B138" s="160" t="str">
        <f t="shared" si="34"/>
        <v/>
      </c>
      <c r="C138" s="472">
        <f>IF(D93="","-",+C137+1)</f>
        <v>2047</v>
      </c>
      <c r="D138" s="347">
        <f>IF(F137+SUM(E$99:E137)=D$92,F137,D$92-SUM(E$99:E137))</f>
        <v>1149940</v>
      </c>
      <c r="E138" s="486">
        <f>IF(+J96&lt;F137,J96,D138)</f>
        <v>374760</v>
      </c>
      <c r="F138" s="485">
        <f t="shared" si="51"/>
        <v>775180</v>
      </c>
      <c r="G138" s="485">
        <f t="shared" si="52"/>
        <v>962560</v>
      </c>
      <c r="H138" s="486">
        <f t="shared" si="49"/>
        <v>480817.41435198544</v>
      </c>
      <c r="I138" s="542">
        <f t="shared" si="50"/>
        <v>480817.41435198544</v>
      </c>
      <c r="J138" s="478">
        <f t="shared" si="56"/>
        <v>0</v>
      </c>
      <c r="K138" s="478"/>
      <c r="L138" s="487"/>
      <c r="M138" s="478">
        <f t="shared" si="53"/>
        <v>0</v>
      </c>
      <c r="N138" s="487"/>
      <c r="O138" s="478">
        <f t="shared" si="54"/>
        <v>0</v>
      </c>
      <c r="P138" s="478">
        <f t="shared" si="55"/>
        <v>0</v>
      </c>
    </row>
    <row r="139" spans="2:16">
      <c r="B139" s="160" t="str">
        <f t="shared" si="34"/>
        <v/>
      </c>
      <c r="C139" s="472">
        <f>IF(D93="","-",+C138+1)</f>
        <v>2048</v>
      </c>
      <c r="D139" s="347">
        <f>IF(F138+SUM(E$99:E138)=D$92,F138,D$92-SUM(E$99:E138))</f>
        <v>775180</v>
      </c>
      <c r="E139" s="486">
        <f>IF(+J96&lt;F138,J96,D139)</f>
        <v>374760</v>
      </c>
      <c r="F139" s="485">
        <f t="shared" si="51"/>
        <v>400420</v>
      </c>
      <c r="G139" s="485">
        <f t="shared" si="52"/>
        <v>587800</v>
      </c>
      <c r="H139" s="486">
        <f t="shared" si="49"/>
        <v>439525.36336030695</v>
      </c>
      <c r="I139" s="542">
        <f t="shared" si="50"/>
        <v>439525.36336030695</v>
      </c>
      <c r="J139" s="478">
        <f t="shared" si="56"/>
        <v>0</v>
      </c>
      <c r="K139" s="478"/>
      <c r="L139" s="487"/>
      <c r="M139" s="478">
        <f t="shared" si="53"/>
        <v>0</v>
      </c>
      <c r="N139" s="487"/>
      <c r="O139" s="478">
        <f t="shared" si="54"/>
        <v>0</v>
      </c>
      <c r="P139" s="478">
        <f t="shared" si="55"/>
        <v>0</v>
      </c>
    </row>
    <row r="140" spans="2:16">
      <c r="B140" s="160" t="str">
        <f t="shared" si="34"/>
        <v/>
      </c>
      <c r="C140" s="472">
        <f>IF(D93="","-",+C139+1)</f>
        <v>2049</v>
      </c>
      <c r="D140" s="347">
        <f>IF(F139+SUM(E$99:E139)=D$92,F139,D$92-SUM(E$99:E139))</f>
        <v>400420</v>
      </c>
      <c r="E140" s="486">
        <f>IF(+J96&lt;F139,J96,D140)</f>
        <v>374760</v>
      </c>
      <c r="F140" s="485">
        <f t="shared" si="51"/>
        <v>25660</v>
      </c>
      <c r="G140" s="485">
        <f t="shared" si="52"/>
        <v>213040</v>
      </c>
      <c r="H140" s="486">
        <f t="shared" si="49"/>
        <v>398233.31236862845</v>
      </c>
      <c r="I140" s="542">
        <f t="shared" si="50"/>
        <v>398233.31236862845</v>
      </c>
      <c r="J140" s="478">
        <f t="shared" si="56"/>
        <v>0</v>
      </c>
      <c r="K140" s="478"/>
      <c r="L140" s="487"/>
      <c r="M140" s="478">
        <f t="shared" si="53"/>
        <v>0</v>
      </c>
      <c r="N140" s="487"/>
      <c r="O140" s="478">
        <f t="shared" si="54"/>
        <v>0</v>
      </c>
      <c r="P140" s="478">
        <f t="shared" si="55"/>
        <v>0</v>
      </c>
    </row>
    <row r="141" spans="2:16">
      <c r="B141" s="160" t="str">
        <f t="shared" si="34"/>
        <v/>
      </c>
      <c r="C141" s="472">
        <f>IF(D93="","-",+C140+1)</f>
        <v>2050</v>
      </c>
      <c r="D141" s="347">
        <f>IF(F140+SUM(E$99:E140)=D$92,F140,D$92-SUM(E$99:E140))</f>
        <v>25660</v>
      </c>
      <c r="E141" s="486">
        <f>IF(+J96&lt;F140,J96,D141)</f>
        <v>25660</v>
      </c>
      <c r="F141" s="485">
        <f t="shared" si="51"/>
        <v>0</v>
      </c>
      <c r="G141" s="485">
        <f t="shared" si="52"/>
        <v>12830</v>
      </c>
      <c r="H141" s="486">
        <f t="shared" si="49"/>
        <v>27073.643436394588</v>
      </c>
      <c r="I141" s="542">
        <f t="shared" si="50"/>
        <v>27073.643436394588</v>
      </c>
      <c r="J141" s="478">
        <f t="shared" si="56"/>
        <v>0</v>
      </c>
      <c r="K141" s="478"/>
      <c r="L141" s="487"/>
      <c r="M141" s="478">
        <f t="shared" si="53"/>
        <v>0</v>
      </c>
      <c r="N141" s="487"/>
      <c r="O141" s="478">
        <f t="shared" si="54"/>
        <v>0</v>
      </c>
      <c r="P141" s="478">
        <f t="shared" si="55"/>
        <v>0</v>
      </c>
    </row>
    <row r="142" spans="2:16">
      <c r="B142" s="160" t="str">
        <f t="shared" si="34"/>
        <v/>
      </c>
      <c r="C142" s="472">
        <f>IF(D93="","-",+C141+1)</f>
        <v>2051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1"/>
        <v>0</v>
      </c>
      <c r="G142" s="485">
        <f t="shared" si="52"/>
        <v>0</v>
      </c>
      <c r="H142" s="486">
        <f t="shared" si="49"/>
        <v>0</v>
      </c>
      <c r="I142" s="542">
        <f t="shared" si="50"/>
        <v>0</v>
      </c>
      <c r="J142" s="478">
        <f t="shared" si="56"/>
        <v>0</v>
      </c>
      <c r="K142" s="478"/>
      <c r="L142" s="487"/>
      <c r="M142" s="478">
        <f t="shared" si="53"/>
        <v>0</v>
      </c>
      <c r="N142" s="487"/>
      <c r="O142" s="478">
        <f t="shared" si="54"/>
        <v>0</v>
      </c>
      <c r="P142" s="478">
        <f t="shared" si="55"/>
        <v>0</v>
      </c>
    </row>
    <row r="143" spans="2:16">
      <c r="B143" s="160" t="str">
        <f t="shared" si="34"/>
        <v/>
      </c>
      <c r="C143" s="472">
        <f>IF(D93="","-",+C142+1)</f>
        <v>2052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1"/>
        <v>0</v>
      </c>
      <c r="G143" s="485">
        <f t="shared" si="52"/>
        <v>0</v>
      </c>
      <c r="H143" s="486">
        <f t="shared" si="49"/>
        <v>0</v>
      </c>
      <c r="I143" s="542">
        <f t="shared" si="50"/>
        <v>0</v>
      </c>
      <c r="J143" s="478">
        <f t="shared" si="56"/>
        <v>0</v>
      </c>
      <c r="K143" s="478"/>
      <c r="L143" s="487"/>
      <c r="M143" s="478">
        <f t="shared" si="53"/>
        <v>0</v>
      </c>
      <c r="N143" s="487"/>
      <c r="O143" s="478">
        <f t="shared" si="54"/>
        <v>0</v>
      </c>
      <c r="P143" s="478">
        <f t="shared" si="55"/>
        <v>0</v>
      </c>
    </row>
    <row r="144" spans="2:16">
      <c r="B144" s="160" t="str">
        <f t="shared" si="34"/>
        <v/>
      </c>
      <c r="C144" s="472">
        <f>IF(D93="","-",+C143+1)</f>
        <v>2053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1"/>
        <v>0</v>
      </c>
      <c r="G144" s="485">
        <f t="shared" si="52"/>
        <v>0</v>
      </c>
      <c r="H144" s="486">
        <f t="shared" si="49"/>
        <v>0</v>
      </c>
      <c r="I144" s="542">
        <f t="shared" si="50"/>
        <v>0</v>
      </c>
      <c r="J144" s="478">
        <f t="shared" si="56"/>
        <v>0</v>
      </c>
      <c r="K144" s="478"/>
      <c r="L144" s="487"/>
      <c r="M144" s="478">
        <f t="shared" si="53"/>
        <v>0</v>
      </c>
      <c r="N144" s="487"/>
      <c r="O144" s="478">
        <f t="shared" si="54"/>
        <v>0</v>
      </c>
      <c r="P144" s="478">
        <f t="shared" si="55"/>
        <v>0</v>
      </c>
    </row>
    <row r="145" spans="2:16">
      <c r="B145" s="160" t="str">
        <f t="shared" si="34"/>
        <v/>
      </c>
      <c r="C145" s="472">
        <f>IF(D93="","-",+C144+1)</f>
        <v>2054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1"/>
        <v>0</v>
      </c>
      <c r="G145" s="485">
        <f t="shared" si="52"/>
        <v>0</v>
      </c>
      <c r="H145" s="486">
        <f t="shared" si="49"/>
        <v>0</v>
      </c>
      <c r="I145" s="542">
        <f t="shared" si="50"/>
        <v>0</v>
      </c>
      <c r="J145" s="478">
        <f t="shared" si="56"/>
        <v>0</v>
      </c>
      <c r="K145" s="478"/>
      <c r="L145" s="487"/>
      <c r="M145" s="478">
        <f t="shared" si="53"/>
        <v>0</v>
      </c>
      <c r="N145" s="487"/>
      <c r="O145" s="478">
        <f t="shared" si="54"/>
        <v>0</v>
      </c>
      <c r="P145" s="478">
        <f t="shared" si="55"/>
        <v>0</v>
      </c>
    </row>
    <row r="146" spans="2:16">
      <c r="B146" s="160" t="str">
        <f t="shared" si="34"/>
        <v/>
      </c>
      <c r="C146" s="472">
        <f>IF(D93="","-",+C145+1)</f>
        <v>2055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1"/>
        <v>0</v>
      </c>
      <c r="G146" s="485">
        <f t="shared" si="52"/>
        <v>0</v>
      </c>
      <c r="H146" s="486">
        <f t="shared" si="49"/>
        <v>0</v>
      </c>
      <c r="I146" s="542">
        <f t="shared" si="50"/>
        <v>0</v>
      </c>
      <c r="J146" s="478">
        <f t="shared" si="56"/>
        <v>0</v>
      </c>
      <c r="K146" s="478"/>
      <c r="L146" s="487"/>
      <c r="M146" s="478">
        <f t="shared" si="53"/>
        <v>0</v>
      </c>
      <c r="N146" s="487"/>
      <c r="O146" s="478">
        <f t="shared" si="54"/>
        <v>0</v>
      </c>
      <c r="P146" s="478">
        <f t="shared" si="55"/>
        <v>0</v>
      </c>
    </row>
    <row r="147" spans="2:16">
      <c r="B147" s="160" t="str">
        <f t="shared" si="34"/>
        <v/>
      </c>
      <c r="C147" s="472">
        <f>IF(D93="","-",+C146+1)</f>
        <v>2056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1"/>
        <v>0</v>
      </c>
      <c r="G147" s="485">
        <f t="shared" si="52"/>
        <v>0</v>
      </c>
      <c r="H147" s="486">
        <f t="shared" si="49"/>
        <v>0</v>
      </c>
      <c r="I147" s="542">
        <f t="shared" si="50"/>
        <v>0</v>
      </c>
      <c r="J147" s="478">
        <f t="shared" si="56"/>
        <v>0</v>
      </c>
      <c r="K147" s="478"/>
      <c r="L147" s="487"/>
      <c r="M147" s="478">
        <f t="shared" si="53"/>
        <v>0</v>
      </c>
      <c r="N147" s="487"/>
      <c r="O147" s="478">
        <f t="shared" si="54"/>
        <v>0</v>
      </c>
      <c r="P147" s="478">
        <f t="shared" si="55"/>
        <v>0</v>
      </c>
    </row>
    <row r="148" spans="2:16">
      <c r="B148" s="160" t="str">
        <f t="shared" si="34"/>
        <v/>
      </c>
      <c r="C148" s="472">
        <f>IF(D93="","-",+C147+1)</f>
        <v>2057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1"/>
        <v>0</v>
      </c>
      <c r="G148" s="485">
        <f t="shared" si="52"/>
        <v>0</v>
      </c>
      <c r="H148" s="486">
        <f t="shared" si="49"/>
        <v>0</v>
      </c>
      <c r="I148" s="542">
        <f t="shared" si="50"/>
        <v>0</v>
      </c>
      <c r="J148" s="478">
        <f t="shared" si="56"/>
        <v>0</v>
      </c>
      <c r="K148" s="478"/>
      <c r="L148" s="487"/>
      <c r="M148" s="478">
        <f t="shared" si="53"/>
        <v>0</v>
      </c>
      <c r="N148" s="487"/>
      <c r="O148" s="478">
        <f t="shared" si="54"/>
        <v>0</v>
      </c>
      <c r="P148" s="478">
        <f t="shared" si="55"/>
        <v>0</v>
      </c>
    </row>
    <row r="149" spans="2:16">
      <c r="B149" s="160" t="str">
        <f t="shared" si="34"/>
        <v/>
      </c>
      <c r="C149" s="472">
        <f>IF(D93="","-",+C148+1)</f>
        <v>2058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1"/>
        <v>0</v>
      </c>
      <c r="G149" s="485">
        <f t="shared" si="52"/>
        <v>0</v>
      </c>
      <c r="H149" s="486">
        <f t="shared" si="49"/>
        <v>0</v>
      </c>
      <c r="I149" s="542">
        <f t="shared" si="50"/>
        <v>0</v>
      </c>
      <c r="J149" s="478">
        <f t="shared" si="56"/>
        <v>0</v>
      </c>
      <c r="K149" s="478"/>
      <c r="L149" s="487"/>
      <c r="M149" s="478">
        <f t="shared" si="53"/>
        <v>0</v>
      </c>
      <c r="N149" s="487"/>
      <c r="O149" s="478">
        <f t="shared" si="54"/>
        <v>0</v>
      </c>
      <c r="P149" s="478">
        <f t="shared" si="55"/>
        <v>0</v>
      </c>
    </row>
    <row r="150" spans="2:16">
      <c r="B150" s="160" t="str">
        <f t="shared" si="34"/>
        <v/>
      </c>
      <c r="C150" s="472">
        <f>IF(D93="","-",+C149+1)</f>
        <v>2059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1"/>
        <v>0</v>
      </c>
      <c r="G150" s="485">
        <f t="shared" si="52"/>
        <v>0</v>
      </c>
      <c r="H150" s="486">
        <f t="shared" si="49"/>
        <v>0</v>
      </c>
      <c r="I150" s="542">
        <f t="shared" si="50"/>
        <v>0</v>
      </c>
      <c r="J150" s="478">
        <f t="shared" si="56"/>
        <v>0</v>
      </c>
      <c r="K150" s="478"/>
      <c r="L150" s="487"/>
      <c r="M150" s="478">
        <f t="shared" si="53"/>
        <v>0</v>
      </c>
      <c r="N150" s="487"/>
      <c r="O150" s="478">
        <f t="shared" si="54"/>
        <v>0</v>
      </c>
      <c r="P150" s="478">
        <f t="shared" si="55"/>
        <v>0</v>
      </c>
    </row>
    <row r="151" spans="2:16">
      <c r="B151" s="160" t="str">
        <f t="shared" si="34"/>
        <v/>
      </c>
      <c r="C151" s="472">
        <f>IF(D93="","-",+C150+1)</f>
        <v>2060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1"/>
        <v>0</v>
      </c>
      <c r="G151" s="485">
        <f t="shared" si="52"/>
        <v>0</v>
      </c>
      <c r="H151" s="486">
        <f t="shared" si="49"/>
        <v>0</v>
      </c>
      <c r="I151" s="542">
        <f t="shared" si="50"/>
        <v>0</v>
      </c>
      <c r="J151" s="478">
        <f t="shared" si="56"/>
        <v>0</v>
      </c>
      <c r="K151" s="478"/>
      <c r="L151" s="487"/>
      <c r="M151" s="478">
        <f t="shared" si="53"/>
        <v>0</v>
      </c>
      <c r="N151" s="487"/>
      <c r="O151" s="478">
        <f t="shared" si="54"/>
        <v>0</v>
      </c>
      <c r="P151" s="478">
        <f t="shared" si="55"/>
        <v>0</v>
      </c>
    </row>
    <row r="152" spans="2:16">
      <c r="B152" s="160" t="str">
        <f t="shared" si="34"/>
        <v/>
      </c>
      <c r="C152" s="472">
        <f>IF(D93="","-",+C151+1)</f>
        <v>2061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1"/>
        <v>0</v>
      </c>
      <c r="G152" s="485">
        <f t="shared" si="52"/>
        <v>0</v>
      </c>
      <c r="H152" s="486">
        <f t="shared" si="49"/>
        <v>0</v>
      </c>
      <c r="I152" s="542">
        <f t="shared" si="50"/>
        <v>0</v>
      </c>
      <c r="J152" s="478">
        <f t="shared" si="56"/>
        <v>0</v>
      </c>
      <c r="K152" s="478"/>
      <c r="L152" s="487"/>
      <c r="M152" s="478">
        <f t="shared" si="53"/>
        <v>0</v>
      </c>
      <c r="N152" s="487"/>
      <c r="O152" s="478">
        <f t="shared" si="54"/>
        <v>0</v>
      </c>
      <c r="P152" s="478">
        <f t="shared" si="55"/>
        <v>0</v>
      </c>
    </row>
    <row r="153" spans="2:16">
      <c r="B153" s="160" t="str">
        <f t="shared" si="34"/>
        <v/>
      </c>
      <c r="C153" s="472">
        <f>IF(D93="","-",+C152+1)</f>
        <v>2062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1"/>
        <v>0</v>
      </c>
      <c r="G153" s="485">
        <f t="shared" si="52"/>
        <v>0</v>
      </c>
      <c r="H153" s="486">
        <f t="shared" si="49"/>
        <v>0</v>
      </c>
      <c r="I153" s="542">
        <f t="shared" si="50"/>
        <v>0</v>
      </c>
      <c r="J153" s="478">
        <f t="shared" si="56"/>
        <v>0</v>
      </c>
      <c r="K153" s="478"/>
      <c r="L153" s="487"/>
      <c r="M153" s="478">
        <f t="shared" si="53"/>
        <v>0</v>
      </c>
      <c r="N153" s="487"/>
      <c r="O153" s="478">
        <f t="shared" si="54"/>
        <v>0</v>
      </c>
      <c r="P153" s="478">
        <f t="shared" si="55"/>
        <v>0</v>
      </c>
    </row>
    <row r="154" spans="2:16" ht="13.5" thickBot="1">
      <c r="B154" s="160" t="str">
        <f t="shared" si="34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1"/>
        <v>0</v>
      </c>
      <c r="G154" s="490">
        <f t="shared" si="52"/>
        <v>0</v>
      </c>
      <c r="H154" s="490">
        <f t="shared" si="49"/>
        <v>0</v>
      </c>
      <c r="I154" s="545">
        <f t="shared" ref="I154" si="57">ROUND(J$95*G154,0)+E154</f>
        <v>0</v>
      </c>
      <c r="J154" s="495">
        <f t="shared" si="56"/>
        <v>0</v>
      </c>
      <c r="K154" s="478"/>
      <c r="L154" s="494"/>
      <c r="M154" s="495">
        <f t="shared" si="53"/>
        <v>0</v>
      </c>
      <c r="N154" s="494"/>
      <c r="O154" s="495">
        <f t="shared" si="54"/>
        <v>0</v>
      </c>
      <c r="P154" s="495">
        <f t="shared" si="55"/>
        <v>0</v>
      </c>
    </row>
    <row r="155" spans="2:16">
      <c r="C155" s="347" t="s">
        <v>77</v>
      </c>
      <c r="D155" s="348"/>
      <c r="E155" s="348">
        <f>SUM(E99:E154)</f>
        <v>14615636</v>
      </c>
      <c r="F155" s="348"/>
      <c r="G155" s="348"/>
      <c r="H155" s="348">
        <f>SUM(H99:H154)</f>
        <v>53745916.218789585</v>
      </c>
      <c r="I155" s="348">
        <f>SUM(I99:I154)</f>
        <v>53745916.218789585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  <row r="1048576" spans="11:13" ht="12.75" customHeight="1">
      <c r="K1048576" s="476">
        <f>G1048576</f>
        <v>0</v>
      </c>
      <c r="L1048576" s="550">
        <f t="shared" ref="L1048576" si="58">IF(K1048576&lt;&gt;0,+G1048576-K1048576,0)</f>
        <v>0</v>
      </c>
      <c r="M1048576" s="476">
        <f>H1048576</f>
        <v>0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P162"/>
  <sheetViews>
    <sheetView view="pageBreakPreview" zoomScale="75" zoomScaleNormal="100" workbookViewId="0">
      <selection activeCell="D115" sqref="D115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5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36756.917403506392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36756.917403506392</v>
      </c>
      <c r="O6" s="233"/>
      <c r="P6" s="233"/>
    </row>
    <row r="7" spans="1:16" ht="13.5" thickBot="1">
      <c r="C7" s="431" t="s">
        <v>46</v>
      </c>
      <c r="D7" s="432" t="s">
        <v>206</v>
      </c>
      <c r="E7" s="33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83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f>387742</f>
        <v>387742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9231.9523809523816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2006</v>
      </c>
      <c r="D17" s="473">
        <v>387742</v>
      </c>
      <c r="E17" s="474">
        <v>3877</v>
      </c>
      <c r="F17" s="473">
        <v>383865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/>
      <c r="C18" s="472">
        <f>IF(D11="","-",+C17+1)</f>
        <v>2007</v>
      </c>
      <c r="D18" s="479">
        <v>383865</v>
      </c>
      <c r="E18" s="480">
        <v>7755</v>
      </c>
      <c r="F18" s="479">
        <v>376110</v>
      </c>
      <c r="G18" s="479">
        <v>59847</v>
      </c>
      <c r="H18" s="479">
        <v>59847</v>
      </c>
      <c r="I18" s="475">
        <f t="shared" si="0"/>
        <v>0</v>
      </c>
      <c r="J18" s="475"/>
      <c r="K18" s="476">
        <v>59847</v>
      </c>
      <c r="L18" s="478">
        <f t="shared" si="1"/>
        <v>0</v>
      </c>
      <c r="M18" s="476">
        <v>59847</v>
      </c>
      <c r="N18" s="478">
        <f t="shared" si="2"/>
        <v>0</v>
      </c>
      <c r="O18" s="478">
        <f t="shared" si="3"/>
        <v>0</v>
      </c>
      <c r="P18" s="243"/>
    </row>
    <row r="19" spans="2:16">
      <c r="B19" s="160"/>
      <c r="C19" s="472">
        <f>IF(D11="","-",+C18+1)</f>
        <v>2008</v>
      </c>
      <c r="D19" s="479">
        <v>376557</v>
      </c>
      <c r="E19" s="561">
        <v>7457</v>
      </c>
      <c r="F19" s="479">
        <v>369100</v>
      </c>
      <c r="G19" s="479">
        <v>62208</v>
      </c>
      <c r="H19" s="479">
        <v>62208</v>
      </c>
      <c r="I19" s="475">
        <f t="shared" si="0"/>
        <v>0</v>
      </c>
      <c r="J19" s="475"/>
      <c r="K19" s="476">
        <v>62208</v>
      </c>
      <c r="L19" s="478">
        <f t="shared" si="1"/>
        <v>0</v>
      </c>
      <c r="M19" s="476">
        <v>62208</v>
      </c>
      <c r="N19" s="478">
        <f t="shared" si="2"/>
        <v>0</v>
      </c>
      <c r="O19" s="478">
        <f t="shared" si="3"/>
        <v>0</v>
      </c>
      <c r="P19" s="243"/>
    </row>
    <row r="20" spans="2:16">
      <c r="B20" s="160"/>
      <c r="C20" s="472">
        <f>IF(D11="","-",+C19+1)</f>
        <v>2009</v>
      </c>
      <c r="D20" s="479">
        <v>368843</v>
      </c>
      <c r="E20" s="561">
        <v>7316</v>
      </c>
      <c r="F20" s="479">
        <v>361527</v>
      </c>
      <c r="G20" s="479">
        <v>62704</v>
      </c>
      <c r="H20" s="479">
        <v>62704</v>
      </c>
      <c r="I20" s="475">
        <f t="shared" si="0"/>
        <v>0</v>
      </c>
      <c r="J20" s="475"/>
      <c r="K20" s="476">
        <v>62704</v>
      </c>
      <c r="L20" s="478">
        <f t="shared" si="1"/>
        <v>0</v>
      </c>
      <c r="M20" s="476">
        <v>62704</v>
      </c>
      <c r="N20" s="478">
        <f t="shared" si="2"/>
        <v>0</v>
      </c>
      <c r="O20" s="478">
        <f t="shared" si="3"/>
        <v>0</v>
      </c>
      <c r="P20" s="243"/>
    </row>
    <row r="21" spans="2:16">
      <c r="B21" s="160"/>
      <c r="C21" s="472">
        <f>IF(D12="","-",+C20+1)</f>
        <v>2010</v>
      </c>
      <c r="D21" s="479">
        <v>361337</v>
      </c>
      <c r="E21" s="480">
        <v>6923.9642857142853</v>
      </c>
      <c r="F21" s="479">
        <v>354413.03571428574</v>
      </c>
      <c r="G21" s="480">
        <v>58064.529944767884</v>
      </c>
      <c r="H21" s="481">
        <v>58064.529944767884</v>
      </c>
      <c r="I21" s="475">
        <f t="shared" si="0"/>
        <v>0</v>
      </c>
      <c r="J21" s="475"/>
      <c r="K21" s="540">
        <f t="shared" ref="K21:K26" si="4">G21</f>
        <v>58064.529944767884</v>
      </c>
      <c r="L21" s="478">
        <f t="shared" si="1"/>
        <v>0</v>
      </c>
      <c r="M21" s="540">
        <f t="shared" ref="M21:M26" si="5">H21</f>
        <v>58064.529944767884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ref="B22:B72" si="6">IF(D22=F21,"","IU")</f>
        <v/>
      </c>
      <c r="C22" s="472">
        <f>IF(D11="","-",+C21+1)</f>
        <v>2011</v>
      </c>
      <c r="D22" s="479">
        <v>354413.03571428574</v>
      </c>
      <c r="E22" s="480">
        <v>7602.7843137254904</v>
      </c>
      <c r="F22" s="479">
        <v>346810.25140056026</v>
      </c>
      <c r="G22" s="480">
        <v>61893.620096156621</v>
      </c>
      <c r="H22" s="481">
        <v>61893.620096156621</v>
      </c>
      <c r="I22" s="475">
        <f t="shared" si="0"/>
        <v>0</v>
      </c>
      <c r="J22" s="475"/>
      <c r="K22" s="476">
        <f t="shared" si="4"/>
        <v>61893.620096156621</v>
      </c>
      <c r="L22" s="550">
        <f t="shared" si="1"/>
        <v>0</v>
      </c>
      <c r="M22" s="476">
        <f t="shared" si="5"/>
        <v>61893.620096156621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6"/>
        <v/>
      </c>
      <c r="C23" s="472">
        <f>IF(D11="","-",+C22+1)</f>
        <v>2012</v>
      </c>
      <c r="D23" s="479">
        <v>346810.25140056026</v>
      </c>
      <c r="E23" s="480">
        <v>7456.5769230769229</v>
      </c>
      <c r="F23" s="479">
        <v>339353.67447748332</v>
      </c>
      <c r="G23" s="480">
        <v>54696.893588724874</v>
      </c>
      <c r="H23" s="481">
        <v>54696.893588724874</v>
      </c>
      <c r="I23" s="475">
        <f t="shared" si="0"/>
        <v>0</v>
      </c>
      <c r="J23" s="475"/>
      <c r="K23" s="476">
        <f t="shared" si="4"/>
        <v>54696.893588724874</v>
      </c>
      <c r="L23" s="550">
        <f t="shared" si="1"/>
        <v>0</v>
      </c>
      <c r="M23" s="476">
        <f t="shared" si="5"/>
        <v>54696.893588724874</v>
      </c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6"/>
        <v/>
      </c>
      <c r="C24" s="472">
        <f>IF(D11="","-",+C23+1)</f>
        <v>2013</v>
      </c>
      <c r="D24" s="479">
        <v>339353.67447748332</v>
      </c>
      <c r="E24" s="480">
        <v>7456.5769230769229</v>
      </c>
      <c r="F24" s="479">
        <v>331897.09755440638</v>
      </c>
      <c r="G24" s="480">
        <v>54853.72619811543</v>
      </c>
      <c r="H24" s="481">
        <v>54853.72619811543</v>
      </c>
      <c r="I24" s="475">
        <v>0</v>
      </c>
      <c r="J24" s="475"/>
      <c r="K24" s="476">
        <f t="shared" si="4"/>
        <v>54853.72619811543</v>
      </c>
      <c r="L24" s="550">
        <f t="shared" ref="L24:L29" si="7">IF(K24&lt;&gt;0,+G24-K24,0)</f>
        <v>0</v>
      </c>
      <c r="M24" s="476">
        <f t="shared" si="5"/>
        <v>54853.72619811543</v>
      </c>
      <c r="N24" s="478">
        <f t="shared" ref="N24:N29" si="8">IF(M24&lt;&gt;0,+H24-M24,0)</f>
        <v>0</v>
      </c>
      <c r="O24" s="478">
        <f t="shared" ref="O24:O29" si="9">+N24-L24</f>
        <v>0</v>
      </c>
      <c r="P24" s="243"/>
    </row>
    <row r="25" spans="2:16">
      <c r="B25" s="160" t="str">
        <f t="shared" si="6"/>
        <v/>
      </c>
      <c r="C25" s="472">
        <f>IF(D11="","-",+C24+1)</f>
        <v>2014</v>
      </c>
      <c r="D25" s="479">
        <v>331897.09755440638</v>
      </c>
      <c r="E25" s="480">
        <v>7456.5769230769229</v>
      </c>
      <c r="F25" s="479">
        <v>324440.52063132945</v>
      </c>
      <c r="G25" s="480">
        <v>52118.659182147123</v>
      </c>
      <c r="H25" s="481">
        <v>52118.659182147123</v>
      </c>
      <c r="I25" s="475">
        <v>0</v>
      </c>
      <c r="J25" s="475"/>
      <c r="K25" s="476">
        <f t="shared" si="4"/>
        <v>52118.659182147123</v>
      </c>
      <c r="L25" s="550">
        <f t="shared" si="7"/>
        <v>0</v>
      </c>
      <c r="M25" s="476">
        <f t="shared" si="5"/>
        <v>52118.659182147123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2015</v>
      </c>
      <c r="D26" s="479">
        <v>324440.52063132945</v>
      </c>
      <c r="E26" s="480">
        <v>7456.5769230769229</v>
      </c>
      <c r="F26" s="479">
        <v>316983.94370825251</v>
      </c>
      <c r="G26" s="480">
        <v>51159.678410482353</v>
      </c>
      <c r="H26" s="481">
        <v>51159.678410482353</v>
      </c>
      <c r="I26" s="475">
        <v>0</v>
      </c>
      <c r="J26" s="475"/>
      <c r="K26" s="476">
        <f t="shared" si="4"/>
        <v>51159.678410482353</v>
      </c>
      <c r="L26" s="550">
        <f t="shared" si="7"/>
        <v>0</v>
      </c>
      <c r="M26" s="476">
        <f t="shared" si="5"/>
        <v>51159.678410482353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2016</v>
      </c>
      <c r="D27" s="479">
        <v>316983.94370825251</v>
      </c>
      <c r="E27" s="480">
        <v>7456.5769230769229</v>
      </c>
      <c r="F27" s="479">
        <v>309527.36678517557</v>
      </c>
      <c r="G27" s="480">
        <v>48054.073071867475</v>
      </c>
      <c r="H27" s="481">
        <v>48054.073071867475</v>
      </c>
      <c r="I27" s="475">
        <f t="shared" si="0"/>
        <v>0</v>
      </c>
      <c r="J27" s="475"/>
      <c r="K27" s="476">
        <f t="shared" ref="K27:K32" si="10">G27</f>
        <v>48054.073071867475</v>
      </c>
      <c r="L27" s="550">
        <f t="shared" si="7"/>
        <v>0</v>
      </c>
      <c r="M27" s="476">
        <f t="shared" ref="M27:M32" si="11">H27</f>
        <v>48054.073071867475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2017</v>
      </c>
      <c r="D28" s="479">
        <v>309527.36678517557</v>
      </c>
      <c r="E28" s="480">
        <v>8429.173913043478</v>
      </c>
      <c r="F28" s="479">
        <v>301098.19287213212</v>
      </c>
      <c r="G28" s="480">
        <v>46747.12706959022</v>
      </c>
      <c r="H28" s="481">
        <v>46747.12706959022</v>
      </c>
      <c r="I28" s="475">
        <f t="shared" si="0"/>
        <v>0</v>
      </c>
      <c r="J28" s="475"/>
      <c r="K28" s="476">
        <f t="shared" si="10"/>
        <v>46747.12706959022</v>
      </c>
      <c r="L28" s="550">
        <f t="shared" si="7"/>
        <v>0</v>
      </c>
      <c r="M28" s="476">
        <f t="shared" si="11"/>
        <v>46747.12706959022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6"/>
        <v/>
      </c>
      <c r="C29" s="472">
        <f>IF(D11="","-",+C28+1)</f>
        <v>2018</v>
      </c>
      <c r="D29" s="479">
        <v>301098.19287213212</v>
      </c>
      <c r="E29" s="480">
        <v>8616.4888888888891</v>
      </c>
      <c r="F29" s="479">
        <v>292481.70398324321</v>
      </c>
      <c r="G29" s="480">
        <v>44159.738725302646</v>
      </c>
      <c r="H29" s="481">
        <v>44159.738725302646</v>
      </c>
      <c r="I29" s="475">
        <f t="shared" si="0"/>
        <v>0</v>
      </c>
      <c r="J29" s="475"/>
      <c r="K29" s="476">
        <f t="shared" si="10"/>
        <v>44159.738725302646</v>
      </c>
      <c r="L29" s="550">
        <f t="shared" si="7"/>
        <v>0</v>
      </c>
      <c r="M29" s="476">
        <f t="shared" si="11"/>
        <v>44159.738725302646</v>
      </c>
      <c r="N29" s="478">
        <f t="shared" si="8"/>
        <v>0</v>
      </c>
      <c r="O29" s="478">
        <f t="shared" si="9"/>
        <v>0</v>
      </c>
      <c r="P29" s="243"/>
    </row>
    <row r="30" spans="2:16">
      <c r="B30" s="160" t="str">
        <f t="shared" si="6"/>
        <v/>
      </c>
      <c r="C30" s="472">
        <f>IF(D11="","-",+C29+1)</f>
        <v>2019</v>
      </c>
      <c r="D30" s="479">
        <v>292481.70398324321</v>
      </c>
      <c r="E30" s="480">
        <v>9693.5499999999993</v>
      </c>
      <c r="F30" s="479">
        <v>282788.15398324322</v>
      </c>
      <c r="G30" s="480">
        <v>41809.897213779383</v>
      </c>
      <c r="H30" s="481">
        <v>41809.897213779383</v>
      </c>
      <c r="I30" s="475">
        <f t="shared" si="0"/>
        <v>0</v>
      </c>
      <c r="J30" s="475"/>
      <c r="K30" s="476">
        <f t="shared" si="10"/>
        <v>41809.897213779383</v>
      </c>
      <c r="L30" s="550">
        <f t="shared" ref="L30" si="12">IF(K30&lt;&gt;0,+G30-K30,0)</f>
        <v>0</v>
      </c>
      <c r="M30" s="476">
        <f t="shared" si="11"/>
        <v>41809.897213779383</v>
      </c>
      <c r="N30" s="478">
        <f t="shared" ref="N30" si="13">IF(M30&lt;&gt;0,+H30-M30,0)</f>
        <v>0</v>
      </c>
      <c r="O30" s="478">
        <f t="shared" ref="O30" si="14">+N30-L30</f>
        <v>0</v>
      </c>
      <c r="P30" s="243"/>
    </row>
    <row r="31" spans="2:16">
      <c r="B31" s="160" t="str">
        <f t="shared" si="6"/>
        <v>IU</v>
      </c>
      <c r="C31" s="472">
        <f>IF(D11="","-",+C30+1)</f>
        <v>2020</v>
      </c>
      <c r="D31" s="479">
        <v>283865.21509435429</v>
      </c>
      <c r="E31" s="480">
        <v>9231.9523809523816</v>
      </c>
      <c r="F31" s="479">
        <v>274633.26271340193</v>
      </c>
      <c r="G31" s="480">
        <v>39392.204131039958</v>
      </c>
      <c r="H31" s="481">
        <v>39392.204131039958</v>
      </c>
      <c r="I31" s="475">
        <f t="shared" si="0"/>
        <v>0</v>
      </c>
      <c r="J31" s="475"/>
      <c r="K31" s="476">
        <f t="shared" si="10"/>
        <v>39392.204131039958</v>
      </c>
      <c r="L31" s="550">
        <f t="shared" ref="L31" si="15">IF(K31&lt;&gt;0,+G31-K31,0)</f>
        <v>0</v>
      </c>
      <c r="M31" s="476">
        <f t="shared" si="11"/>
        <v>39392.204131039958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>IU</v>
      </c>
      <c r="C32" s="472">
        <f>IF(D11="","-",+C31+1)</f>
        <v>2021</v>
      </c>
      <c r="D32" s="479">
        <v>273556.20160229085</v>
      </c>
      <c r="E32" s="480">
        <v>9017.2558139534885</v>
      </c>
      <c r="F32" s="479">
        <v>264538.94578833738</v>
      </c>
      <c r="G32" s="480">
        <v>37540.281940264002</v>
      </c>
      <c r="H32" s="481">
        <v>37540.281940264002</v>
      </c>
      <c r="I32" s="475">
        <f t="shared" si="0"/>
        <v>0</v>
      </c>
      <c r="J32" s="475"/>
      <c r="K32" s="476">
        <f t="shared" si="10"/>
        <v>37540.281940264002</v>
      </c>
      <c r="L32" s="550">
        <f t="shared" ref="L32" si="16">IF(K32&lt;&gt;0,+G32-K32,0)</f>
        <v>0</v>
      </c>
      <c r="M32" s="476">
        <f t="shared" si="11"/>
        <v>37540.281940264002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2022</v>
      </c>
      <c r="D33" s="479">
        <v>264538.94578833738</v>
      </c>
      <c r="E33" s="480">
        <v>9231.9523809523816</v>
      </c>
      <c r="F33" s="479">
        <v>255306.99340738502</v>
      </c>
      <c r="G33" s="480">
        <v>36756.917403506392</v>
      </c>
      <c r="H33" s="481">
        <v>36756.917403506392</v>
      </c>
      <c r="I33" s="475">
        <f t="shared" si="0"/>
        <v>0</v>
      </c>
      <c r="J33" s="475"/>
      <c r="K33" s="476">
        <f t="shared" ref="K33" si="17">G33</f>
        <v>36756.917403506392</v>
      </c>
      <c r="L33" s="550">
        <f t="shared" ref="L33" si="18">IF(K33&lt;&gt;0,+G33-K33,0)</f>
        <v>0</v>
      </c>
      <c r="M33" s="476">
        <f t="shared" ref="M33" si="19">H33</f>
        <v>36756.917403506392</v>
      </c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2023</v>
      </c>
      <c r="D34" s="485">
        <f>IF(F33+SUM(E$17:E33)=D$10,F33,D$10-SUM(E$17:E33))</f>
        <v>255306.99340738502</v>
      </c>
      <c r="E34" s="484">
        <f>IF(+I14&lt;F33,I14,D34)</f>
        <v>9231.9523809523816</v>
      </c>
      <c r="F34" s="485">
        <f t="shared" ref="F34:F72" si="20">+D34-E34</f>
        <v>246075.04102643265</v>
      </c>
      <c r="G34" s="486">
        <f t="shared" ref="G34:G72" si="21">(D34+F34)/2*I$12+E34</f>
        <v>36259.263259794534</v>
      </c>
      <c r="H34" s="455">
        <f t="shared" ref="H34:H72" si="22">+(D34+F34)/2*I$13+E34</f>
        <v>36259.263259794534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2024</v>
      </c>
      <c r="D35" s="485">
        <f>IF(F34+SUM(E$17:E34)=D$10,F34,D$10-SUM(E$17:E34))</f>
        <v>246075.04102643265</v>
      </c>
      <c r="E35" s="484">
        <f>IF(+I14&lt;F34,I14,D35)</f>
        <v>9231.9523809523816</v>
      </c>
      <c r="F35" s="485">
        <f t="shared" si="20"/>
        <v>236843.08864548028</v>
      </c>
      <c r="G35" s="486">
        <f t="shared" si="21"/>
        <v>35263.954972370841</v>
      </c>
      <c r="H35" s="455">
        <f t="shared" si="22"/>
        <v>35263.954972370841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2025</v>
      </c>
      <c r="D36" s="485">
        <f>IF(F35+SUM(E$17:E35)=D$10,F35,D$10-SUM(E$17:E35))</f>
        <v>236843.08864548028</v>
      </c>
      <c r="E36" s="484">
        <f>IF(+I14&lt;F35,I14,D36)</f>
        <v>9231.9523809523816</v>
      </c>
      <c r="F36" s="485">
        <f t="shared" si="20"/>
        <v>227611.13626452792</v>
      </c>
      <c r="G36" s="486">
        <f t="shared" si="21"/>
        <v>34268.64668494714</v>
      </c>
      <c r="H36" s="455">
        <f t="shared" si="22"/>
        <v>34268.64668494714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2026</v>
      </c>
      <c r="D37" s="485">
        <f>IF(F36+SUM(E$17:E36)=D$10,F36,D$10-SUM(E$17:E36))</f>
        <v>227611.13626452792</v>
      </c>
      <c r="E37" s="484">
        <f>IF(+I14&lt;F36,I14,D37)</f>
        <v>9231.9523809523816</v>
      </c>
      <c r="F37" s="485">
        <f t="shared" si="20"/>
        <v>218379.18388357555</v>
      </c>
      <c r="G37" s="486">
        <f t="shared" si="21"/>
        <v>33273.338397523439</v>
      </c>
      <c r="H37" s="455">
        <f t="shared" si="22"/>
        <v>33273.338397523439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2027</v>
      </c>
      <c r="D38" s="485">
        <f>IF(F37+SUM(E$17:E37)=D$10,F37,D$10-SUM(E$17:E37))</f>
        <v>218379.18388357555</v>
      </c>
      <c r="E38" s="484">
        <f>IF(+I14&lt;F37,I14,D38)</f>
        <v>9231.9523809523816</v>
      </c>
      <c r="F38" s="485">
        <f t="shared" si="20"/>
        <v>209147.23150262318</v>
      </c>
      <c r="G38" s="486">
        <f t="shared" si="21"/>
        <v>32278.030110099742</v>
      </c>
      <c r="H38" s="455">
        <f t="shared" si="22"/>
        <v>32278.030110099742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2028</v>
      </c>
      <c r="D39" s="485">
        <f>IF(F38+SUM(E$17:E38)=D$10,F38,D$10-SUM(E$17:E38))</f>
        <v>209147.23150262318</v>
      </c>
      <c r="E39" s="484">
        <f>IF(+I14&lt;F38,I14,D39)</f>
        <v>9231.9523809523816</v>
      </c>
      <c r="F39" s="485">
        <f t="shared" si="20"/>
        <v>199915.27912167081</v>
      </c>
      <c r="G39" s="486">
        <f t="shared" si="21"/>
        <v>31282.721822676041</v>
      </c>
      <c r="H39" s="455">
        <f t="shared" si="22"/>
        <v>31282.721822676041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2029</v>
      </c>
      <c r="D40" s="485">
        <f>IF(F39+SUM(E$17:E39)=D$10,F39,D$10-SUM(E$17:E39))</f>
        <v>199915.27912167081</v>
      </c>
      <c r="E40" s="484">
        <f>IF(+I14&lt;F39,I14,D40)</f>
        <v>9231.9523809523816</v>
      </c>
      <c r="F40" s="485">
        <f t="shared" si="20"/>
        <v>190683.32674071845</v>
      </c>
      <c r="G40" s="486">
        <f t="shared" si="21"/>
        <v>30287.413535252341</v>
      </c>
      <c r="H40" s="455">
        <f t="shared" si="22"/>
        <v>30287.413535252341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2030</v>
      </c>
      <c r="D41" s="485">
        <f>IF(F40+SUM(E$17:E40)=D$10,F40,D$10-SUM(E$17:E40))</f>
        <v>190683.32674071845</v>
      </c>
      <c r="E41" s="484">
        <f>IF(+I14&lt;F40,I14,D41)</f>
        <v>9231.9523809523816</v>
      </c>
      <c r="F41" s="485">
        <f t="shared" si="20"/>
        <v>181451.37435976608</v>
      </c>
      <c r="G41" s="486">
        <f t="shared" si="21"/>
        <v>29292.105247828644</v>
      </c>
      <c r="H41" s="455">
        <f t="shared" si="22"/>
        <v>29292.105247828644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2031</v>
      </c>
      <c r="D42" s="485">
        <f>IF(F41+SUM(E$17:E41)=D$10,F41,D$10-SUM(E$17:E41))</f>
        <v>181451.37435976608</v>
      </c>
      <c r="E42" s="484">
        <f>IF(+I14&lt;F41,I14,D42)</f>
        <v>9231.9523809523816</v>
      </c>
      <c r="F42" s="485">
        <f t="shared" si="20"/>
        <v>172219.42197881371</v>
      </c>
      <c r="G42" s="486">
        <f t="shared" si="21"/>
        <v>28296.796960404943</v>
      </c>
      <c r="H42" s="455">
        <f t="shared" si="22"/>
        <v>28296.796960404943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2032</v>
      </c>
      <c r="D43" s="485">
        <f>IF(F42+SUM(E$17:E42)=D$10,F42,D$10-SUM(E$17:E42))</f>
        <v>172219.42197881371</v>
      </c>
      <c r="E43" s="484">
        <f>IF(+I14&lt;F42,I14,D43)</f>
        <v>9231.9523809523816</v>
      </c>
      <c r="F43" s="485">
        <f t="shared" si="20"/>
        <v>162987.46959786135</v>
      </c>
      <c r="G43" s="486">
        <f t="shared" si="21"/>
        <v>27301.488672981242</v>
      </c>
      <c r="H43" s="455">
        <f t="shared" si="22"/>
        <v>27301.488672981242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2033</v>
      </c>
      <c r="D44" s="485">
        <f>IF(F43+SUM(E$17:E43)=D$10,F43,D$10-SUM(E$17:E43))</f>
        <v>162987.46959786135</v>
      </c>
      <c r="E44" s="484">
        <f>IF(+I14&lt;F43,I14,D44)</f>
        <v>9231.9523809523816</v>
      </c>
      <c r="F44" s="485">
        <f t="shared" si="20"/>
        <v>153755.51721690898</v>
      </c>
      <c r="G44" s="486">
        <f t="shared" si="21"/>
        <v>26306.180385557545</v>
      </c>
      <c r="H44" s="455">
        <f t="shared" si="22"/>
        <v>26306.180385557545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2034</v>
      </c>
      <c r="D45" s="485">
        <f>IF(F44+SUM(E$17:E44)=D$10,F44,D$10-SUM(E$17:E44))</f>
        <v>153755.51721690898</v>
      </c>
      <c r="E45" s="484">
        <f>IF(+I14&lt;F44,I14,D45)</f>
        <v>9231.9523809523816</v>
      </c>
      <c r="F45" s="485">
        <f t="shared" si="20"/>
        <v>144523.56483595661</v>
      </c>
      <c r="G45" s="486">
        <f t="shared" si="21"/>
        <v>25310.872098133845</v>
      </c>
      <c r="H45" s="455">
        <f t="shared" si="22"/>
        <v>25310.872098133845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2035</v>
      </c>
      <c r="D46" s="485">
        <f>IF(F45+SUM(E$17:E45)=D$10,F45,D$10-SUM(E$17:E45))</f>
        <v>144523.56483595661</v>
      </c>
      <c r="E46" s="484">
        <f>IF(+I14&lt;F45,I14,D46)</f>
        <v>9231.9523809523816</v>
      </c>
      <c r="F46" s="485">
        <f t="shared" si="20"/>
        <v>135291.61245500424</v>
      </c>
      <c r="G46" s="486">
        <f t="shared" si="21"/>
        <v>24315.563810710148</v>
      </c>
      <c r="H46" s="455">
        <f t="shared" si="22"/>
        <v>24315.563810710148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2036</v>
      </c>
      <c r="D47" s="485">
        <f>IF(F46+SUM(E$17:E46)=D$10,F46,D$10-SUM(E$17:E46))</f>
        <v>135291.61245500424</v>
      </c>
      <c r="E47" s="484">
        <f>IF(+I14&lt;F46,I14,D47)</f>
        <v>9231.9523809523816</v>
      </c>
      <c r="F47" s="485">
        <f t="shared" si="20"/>
        <v>126059.66007405186</v>
      </c>
      <c r="G47" s="486">
        <f t="shared" si="21"/>
        <v>23320.255523286447</v>
      </c>
      <c r="H47" s="455">
        <f t="shared" si="22"/>
        <v>23320.255523286447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2037</v>
      </c>
      <c r="D48" s="485">
        <f>IF(F47+SUM(E$17:E47)=D$10,F47,D$10-SUM(E$17:E47))</f>
        <v>126059.66007405186</v>
      </c>
      <c r="E48" s="484">
        <f>IF(+I14&lt;F47,I14,D48)</f>
        <v>9231.9523809523816</v>
      </c>
      <c r="F48" s="485">
        <f t="shared" si="20"/>
        <v>116827.70769309948</v>
      </c>
      <c r="G48" s="486">
        <f t="shared" si="21"/>
        <v>22324.947235862746</v>
      </c>
      <c r="H48" s="455">
        <f t="shared" si="22"/>
        <v>22324.947235862746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2038</v>
      </c>
      <c r="D49" s="485">
        <f>IF(F48+SUM(E$17:E48)=D$10,F48,D$10-SUM(E$17:E48))</f>
        <v>116827.70769309948</v>
      </c>
      <c r="E49" s="484">
        <f>IF(+I14&lt;F48,I14,D49)</f>
        <v>9231.9523809523816</v>
      </c>
      <c r="F49" s="485">
        <f t="shared" si="20"/>
        <v>107595.7553121471</v>
      </c>
      <c r="G49" s="486">
        <f t="shared" si="21"/>
        <v>21329.638948439046</v>
      </c>
      <c r="H49" s="455">
        <f t="shared" si="22"/>
        <v>21329.638948439046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3"/>
    </row>
    <row r="50" spans="2:16">
      <c r="B50" s="160" t="str">
        <f t="shared" si="6"/>
        <v/>
      </c>
      <c r="C50" s="472">
        <f>IF(D11="","-",+C49+1)</f>
        <v>2039</v>
      </c>
      <c r="D50" s="485">
        <f>IF(F49+SUM(E$17:E49)=D$10,F49,D$10-SUM(E$17:E49))</f>
        <v>107595.7553121471</v>
      </c>
      <c r="E50" s="484">
        <f>IF(+I14&lt;F49,I14,D50)</f>
        <v>9231.9523809523816</v>
      </c>
      <c r="F50" s="485">
        <f t="shared" si="20"/>
        <v>98363.802931194718</v>
      </c>
      <c r="G50" s="486">
        <f t="shared" si="21"/>
        <v>20334.330661015341</v>
      </c>
      <c r="H50" s="455">
        <f t="shared" si="22"/>
        <v>20334.330661015341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3"/>
    </row>
    <row r="51" spans="2:16">
      <c r="B51" s="160" t="str">
        <f t="shared" si="6"/>
        <v/>
      </c>
      <c r="C51" s="472">
        <f>IF(D11="","-",+C50+1)</f>
        <v>2040</v>
      </c>
      <c r="D51" s="485">
        <f>IF(F50+SUM(E$17:E50)=D$10,F50,D$10-SUM(E$17:E50))</f>
        <v>98363.802931194718</v>
      </c>
      <c r="E51" s="484">
        <f>IF(+I14&lt;F50,I14,D51)</f>
        <v>9231.9523809523816</v>
      </c>
      <c r="F51" s="485">
        <f t="shared" si="20"/>
        <v>89131.850550242336</v>
      </c>
      <c r="G51" s="486">
        <f t="shared" si="21"/>
        <v>19339.022373591644</v>
      </c>
      <c r="H51" s="455">
        <f t="shared" si="22"/>
        <v>19339.022373591644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3"/>
    </row>
    <row r="52" spans="2:16">
      <c r="B52" s="160" t="str">
        <f t="shared" si="6"/>
        <v/>
      </c>
      <c r="C52" s="472">
        <f>IF(D11="","-",+C51+1)</f>
        <v>2041</v>
      </c>
      <c r="D52" s="485">
        <f>IF(F51+SUM(E$17:E51)=D$10,F51,D$10-SUM(E$17:E51))</f>
        <v>89131.850550242336</v>
      </c>
      <c r="E52" s="484">
        <f>IF(+I14&lt;F51,I14,D52)</f>
        <v>9231.9523809523816</v>
      </c>
      <c r="F52" s="485">
        <f t="shared" si="20"/>
        <v>79899.898169289954</v>
      </c>
      <c r="G52" s="486">
        <f t="shared" si="21"/>
        <v>18343.71408616794</v>
      </c>
      <c r="H52" s="455">
        <f t="shared" si="22"/>
        <v>18343.71408616794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3"/>
    </row>
    <row r="53" spans="2:16">
      <c r="B53" s="160" t="str">
        <f t="shared" si="6"/>
        <v/>
      </c>
      <c r="C53" s="472">
        <f>IF(D11="","-",+C52+1)</f>
        <v>2042</v>
      </c>
      <c r="D53" s="485">
        <f>IF(F52+SUM(E$17:E52)=D$10,F52,D$10-SUM(E$17:E52))</f>
        <v>79899.898169289954</v>
      </c>
      <c r="E53" s="484">
        <f>IF(+I14&lt;F52,I14,D53)</f>
        <v>9231.9523809523816</v>
      </c>
      <c r="F53" s="485">
        <f t="shared" si="20"/>
        <v>70667.945788337573</v>
      </c>
      <c r="G53" s="486">
        <f t="shared" si="21"/>
        <v>17348.405798744243</v>
      </c>
      <c r="H53" s="455">
        <f t="shared" si="22"/>
        <v>17348.405798744243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3"/>
    </row>
    <row r="54" spans="2:16">
      <c r="B54" s="160" t="str">
        <f t="shared" si="6"/>
        <v/>
      </c>
      <c r="C54" s="472">
        <f>IF(D11="","-",+C53+1)</f>
        <v>2043</v>
      </c>
      <c r="D54" s="485">
        <f>IF(F53+SUM(E$17:E53)=D$10,F53,D$10-SUM(E$17:E53))</f>
        <v>70667.945788337573</v>
      </c>
      <c r="E54" s="484">
        <f>IF(+I14&lt;F53,I14,D54)</f>
        <v>9231.9523809523816</v>
      </c>
      <c r="F54" s="485">
        <f t="shared" si="20"/>
        <v>61435.993407385191</v>
      </c>
      <c r="G54" s="486">
        <f t="shared" si="21"/>
        <v>16353.097511320539</v>
      </c>
      <c r="H54" s="455">
        <f t="shared" si="22"/>
        <v>16353.097511320539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3"/>
    </row>
    <row r="55" spans="2:16">
      <c r="B55" s="160" t="str">
        <f t="shared" si="6"/>
        <v/>
      </c>
      <c r="C55" s="472">
        <f>IF(D11="","-",+C54+1)</f>
        <v>2044</v>
      </c>
      <c r="D55" s="485">
        <f>IF(F54+SUM(E$17:E54)=D$10,F54,D$10-SUM(E$17:E54))</f>
        <v>61435.993407385191</v>
      </c>
      <c r="E55" s="484">
        <f>IF(+I14&lt;F54,I14,D55)</f>
        <v>9231.9523809523816</v>
      </c>
      <c r="F55" s="485">
        <f t="shared" si="20"/>
        <v>52204.041026432809</v>
      </c>
      <c r="G55" s="486">
        <f t="shared" si="21"/>
        <v>15357.789223896838</v>
      </c>
      <c r="H55" s="455">
        <f t="shared" si="22"/>
        <v>15357.789223896838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3"/>
    </row>
    <row r="56" spans="2:16">
      <c r="B56" s="160" t="str">
        <f t="shared" si="6"/>
        <v/>
      </c>
      <c r="C56" s="472">
        <f>IF(D11="","-",+C55+1)</f>
        <v>2045</v>
      </c>
      <c r="D56" s="485">
        <f>IF(F55+SUM(E$17:E55)=D$10,F55,D$10-SUM(E$17:E55))</f>
        <v>52204.041026432809</v>
      </c>
      <c r="E56" s="484">
        <f>IF(+I14&lt;F55,I14,D56)</f>
        <v>9231.9523809523816</v>
      </c>
      <c r="F56" s="485">
        <f t="shared" si="20"/>
        <v>42972.088645480428</v>
      </c>
      <c r="G56" s="486">
        <f t="shared" si="21"/>
        <v>14362.480936473137</v>
      </c>
      <c r="H56" s="455">
        <f t="shared" si="22"/>
        <v>14362.480936473137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3"/>
    </row>
    <row r="57" spans="2:16">
      <c r="B57" s="160" t="str">
        <f t="shared" si="6"/>
        <v/>
      </c>
      <c r="C57" s="472">
        <f>IF(D11="","-",+C56+1)</f>
        <v>2046</v>
      </c>
      <c r="D57" s="485">
        <f>IF(F56+SUM(E$17:E56)=D$10,F56,D$10-SUM(E$17:E56))</f>
        <v>42972.088645480428</v>
      </c>
      <c r="E57" s="484">
        <f>IF(+I14&lt;F56,I14,D57)</f>
        <v>9231.9523809523816</v>
      </c>
      <c r="F57" s="485">
        <f t="shared" si="20"/>
        <v>33740.136264528046</v>
      </c>
      <c r="G57" s="486">
        <f t="shared" si="21"/>
        <v>13367.172649049437</v>
      </c>
      <c r="H57" s="455">
        <f t="shared" si="22"/>
        <v>13367.172649049437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3"/>
    </row>
    <row r="58" spans="2:16">
      <c r="B58" s="160" t="str">
        <f t="shared" si="6"/>
        <v/>
      </c>
      <c r="C58" s="472">
        <f>IF(D11="","-",+C57+1)</f>
        <v>2047</v>
      </c>
      <c r="D58" s="485">
        <f>IF(F57+SUM(E$17:E57)=D$10,F57,D$10-SUM(E$17:E57))</f>
        <v>33740.136264528046</v>
      </c>
      <c r="E58" s="484">
        <f>IF(+I14&lt;F57,I14,D58)</f>
        <v>9231.9523809523816</v>
      </c>
      <c r="F58" s="485">
        <f t="shared" si="20"/>
        <v>24508.183883575664</v>
      </c>
      <c r="G58" s="486">
        <f t="shared" si="21"/>
        <v>12371.864361625736</v>
      </c>
      <c r="H58" s="455">
        <f t="shared" si="22"/>
        <v>12371.864361625736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3"/>
    </row>
    <row r="59" spans="2:16">
      <c r="B59" s="160" t="str">
        <f t="shared" si="6"/>
        <v/>
      </c>
      <c r="C59" s="472">
        <f>IF(D11="","-",+C58+1)</f>
        <v>2048</v>
      </c>
      <c r="D59" s="485">
        <f>IF(F58+SUM(E$17:E58)=D$10,F58,D$10-SUM(E$17:E58))</f>
        <v>24508.183883575664</v>
      </c>
      <c r="E59" s="484">
        <f>IF(+I14&lt;F58,I14,D59)</f>
        <v>9231.9523809523816</v>
      </c>
      <c r="F59" s="485">
        <f t="shared" si="20"/>
        <v>15276.231502623283</v>
      </c>
      <c r="G59" s="486">
        <f t="shared" si="21"/>
        <v>11376.556074202035</v>
      </c>
      <c r="H59" s="455">
        <f t="shared" si="22"/>
        <v>11376.556074202035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3"/>
    </row>
    <row r="60" spans="2:16">
      <c r="B60" s="160" t="str">
        <f t="shared" si="6"/>
        <v/>
      </c>
      <c r="C60" s="472">
        <f>IF(D11="","-",+C59+1)</f>
        <v>2049</v>
      </c>
      <c r="D60" s="485">
        <f>IF(F59+SUM(E$17:E59)=D$10,F59,D$10-SUM(E$17:E59))</f>
        <v>15276.231502623283</v>
      </c>
      <c r="E60" s="484">
        <f>IF(+I14&lt;F59,I14,D60)</f>
        <v>9231.9523809523816</v>
      </c>
      <c r="F60" s="485">
        <f t="shared" si="20"/>
        <v>6044.2791216709011</v>
      </c>
      <c r="G60" s="486">
        <f t="shared" si="21"/>
        <v>10381.247786778335</v>
      </c>
      <c r="H60" s="455">
        <f t="shared" si="22"/>
        <v>10381.247786778335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3"/>
    </row>
    <row r="61" spans="2:16">
      <c r="B61" s="160" t="str">
        <f t="shared" si="6"/>
        <v/>
      </c>
      <c r="C61" s="472">
        <f>IF(D11="","-",+C60+1)</f>
        <v>2050</v>
      </c>
      <c r="D61" s="485">
        <f>IF(F60+SUM(E$17:E60)=D$10,F60,D$10-SUM(E$17:E60))</f>
        <v>6044.2791216709011</v>
      </c>
      <c r="E61" s="484">
        <f>IF(+I14&lt;F60,I14,D61)</f>
        <v>6044.2791216709011</v>
      </c>
      <c r="F61" s="485">
        <f t="shared" si="20"/>
        <v>0</v>
      </c>
      <c r="G61" s="486">
        <f t="shared" si="21"/>
        <v>6370.0997527279524</v>
      </c>
      <c r="H61" s="455">
        <f t="shared" si="22"/>
        <v>6370.0997527279524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3"/>
    </row>
    <row r="62" spans="2:16">
      <c r="B62" s="160" t="str">
        <f t="shared" si="6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6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3"/>
    </row>
    <row r="63" spans="2:16">
      <c r="B63" s="160" t="str">
        <f t="shared" si="6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3"/>
    </row>
    <row r="64" spans="2:16">
      <c r="B64" s="160" t="str">
        <f t="shared" si="6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3"/>
    </row>
    <row r="65" spans="2:16">
      <c r="B65" s="160" t="str">
        <f t="shared" si="6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3"/>
    </row>
    <row r="66" spans="2:16">
      <c r="B66" s="160" t="str">
        <f t="shared" si="6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3"/>
    </row>
    <row r="67" spans="2:16">
      <c r="B67" s="160" t="str">
        <f t="shared" si="6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3"/>
    </row>
    <row r="68" spans="2:16">
      <c r="B68" s="160" t="str">
        <f t="shared" si="6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3"/>
    </row>
    <row r="69" spans="2:16">
      <c r="B69" s="160" t="str">
        <f t="shared" si="6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3"/>
    </row>
    <row r="70" spans="2:16">
      <c r="B70" s="160" t="str">
        <f t="shared" si="6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3"/>
    </row>
    <row r="71" spans="2:16">
      <c r="B71" s="160" t="str">
        <f t="shared" si="6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21"/>
        <v>0</v>
      </c>
      <c r="H72" s="490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3"/>
    </row>
    <row r="73" spans="2:16">
      <c r="C73" s="347" t="s">
        <v>77</v>
      </c>
      <c r="D73" s="348"/>
      <c r="E73" s="348">
        <f>SUM(E17:E72)</f>
        <v>387741.99999999977</v>
      </c>
      <c r="F73" s="348"/>
      <c r="G73" s="348">
        <f>SUM(G17:G72)</f>
        <v>1448023.345857206</v>
      </c>
      <c r="H73" s="348">
        <f>SUM(H17:H72)</f>
        <v>1448023.345857206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5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36756.917403506392</v>
      </c>
      <c r="N87" s="508">
        <f>IF(J92&lt;D11,0,VLOOKUP(J92,C17:O72,11))</f>
        <v>36756.917403506392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38416.833530612799</v>
      </c>
      <c r="N88" s="512">
        <f>IF(J92&lt;D11,0,VLOOKUP(J92,C99:P154,7))</f>
        <v>38416.833530612799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Catoosa 138 kV Device (Cap. Bank)</v>
      </c>
      <c r="E89" s="233"/>
      <c r="F89" s="233"/>
      <c r="G89" s="233">
        <v>387742</v>
      </c>
      <c r="H89" s="233"/>
      <c r="I89" s="242"/>
      <c r="J89" s="242"/>
      <c r="K89" s="515"/>
      <c r="L89" s="516" t="s">
        <v>156</v>
      </c>
      <c r="M89" s="517">
        <f>+M88-M87</f>
        <v>1659.9161271064077</v>
      </c>
      <c r="N89" s="517">
        <f>+N88-N87</f>
        <v>1659.9161271064077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TP2005006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387742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9942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f>IF(D93=C99,0,D92)</f>
        <v>0</v>
      </c>
      <c r="E99" s="480">
        <v>3801</v>
      </c>
      <c r="F99" s="479">
        <v>383941</v>
      </c>
      <c r="G99" s="537">
        <v>385841</v>
      </c>
      <c r="H99" s="538">
        <v>0</v>
      </c>
      <c r="I99" s="539">
        <v>0</v>
      </c>
      <c r="J99" s="478">
        <f t="shared" ref="J99:J130" si="27">+I99-H99</f>
        <v>0</v>
      </c>
      <c r="K99" s="478"/>
      <c r="L99" s="554">
        <v>0</v>
      </c>
      <c r="M99" s="562">
        <f>IF(L99&lt;&gt;0,+H99-L99,0)</f>
        <v>0</v>
      </c>
      <c r="N99" s="554">
        <v>0</v>
      </c>
      <c r="O99" s="477">
        <f>IF(N99&lt;&gt;0,+I99-N99,0)</f>
        <v>0</v>
      </c>
      <c r="P99" s="477">
        <f t="shared" ref="P99:P130" si="28">+O99-M99</f>
        <v>0</v>
      </c>
    </row>
    <row r="100" spans="1:16">
      <c r="B100" s="160" t="str">
        <f t="shared" ref="B100:B154" si="29">IF(D100=F99,"","IU")</f>
        <v/>
      </c>
      <c r="C100" s="472">
        <f>IF(D93="","-",+C99+1)</f>
        <v>2007</v>
      </c>
      <c r="D100" s="473">
        <v>383941</v>
      </c>
      <c r="E100" s="561">
        <v>7603</v>
      </c>
      <c r="F100" s="479">
        <v>376338</v>
      </c>
      <c r="G100" s="479">
        <v>380140</v>
      </c>
      <c r="H100" s="480">
        <v>66528</v>
      </c>
      <c r="I100" s="481">
        <v>66528</v>
      </c>
      <c r="J100" s="478">
        <f t="shared" si="27"/>
        <v>0</v>
      </c>
      <c r="K100" s="478"/>
      <c r="L100" s="476">
        <v>0</v>
      </c>
      <c r="M100" s="550">
        <f>IF(L100&lt;&gt;0,+H100-L100,0)</f>
        <v>0</v>
      </c>
      <c r="N100" s="476">
        <v>0</v>
      </c>
      <c r="O100" s="478">
        <f>IF(N100&lt;&gt;0,+I100-N100,0)</f>
        <v>0</v>
      </c>
      <c r="P100" s="478">
        <f t="shared" si="28"/>
        <v>0</v>
      </c>
    </row>
    <row r="101" spans="1:16">
      <c r="B101" s="160"/>
      <c r="C101" s="472">
        <f>IF(D93="","-",+C100+1)</f>
        <v>2008</v>
      </c>
      <c r="D101" s="473">
        <v>376159</v>
      </c>
      <c r="E101" s="561">
        <v>7316</v>
      </c>
      <c r="F101" s="479">
        <v>368843</v>
      </c>
      <c r="G101" s="479">
        <v>372501</v>
      </c>
      <c r="H101" s="480">
        <v>66486</v>
      </c>
      <c r="I101" s="481">
        <v>66486</v>
      </c>
      <c r="J101" s="478">
        <f t="shared" si="27"/>
        <v>0</v>
      </c>
      <c r="K101" s="478"/>
      <c r="L101" s="476">
        <v>66486</v>
      </c>
      <c r="M101" s="478">
        <f>IF(L101&lt;&gt;"",+H101-L101,0)</f>
        <v>0</v>
      </c>
      <c r="N101" s="476">
        <v>66486</v>
      </c>
      <c r="O101" s="478">
        <f>IF(N101&lt;&gt;"",+I101-N101,0)</f>
        <v>0</v>
      </c>
      <c r="P101" s="478">
        <f t="shared" si="28"/>
        <v>0</v>
      </c>
    </row>
    <row r="102" spans="1:16">
      <c r="B102" s="160"/>
      <c r="C102" s="472">
        <f>IF(D93="","-",+C101+1)</f>
        <v>2009</v>
      </c>
      <c r="D102" s="473">
        <v>369022</v>
      </c>
      <c r="E102" s="480">
        <v>6924</v>
      </c>
      <c r="F102" s="479">
        <v>362098</v>
      </c>
      <c r="G102" s="479">
        <v>365560</v>
      </c>
      <c r="H102" s="480">
        <v>60371.899487403767</v>
      </c>
      <c r="I102" s="481">
        <v>60371.899487403767</v>
      </c>
      <c r="J102" s="478">
        <f t="shared" si="27"/>
        <v>0</v>
      </c>
      <c r="K102" s="478"/>
      <c r="L102" s="476">
        <f t="shared" ref="L102:L107" si="30">H102</f>
        <v>60371.899487403767</v>
      </c>
      <c r="M102" s="550">
        <f t="shared" ref="M102:M133" si="31">IF(L102&lt;&gt;0,+H102-L102,0)</f>
        <v>0</v>
      </c>
      <c r="N102" s="476">
        <f t="shared" ref="N102:N107" si="32">I102</f>
        <v>60371.899487403767</v>
      </c>
      <c r="O102" s="478">
        <f t="shared" ref="O102:O133" si="33">IF(N102&lt;&gt;0,+I102-N102,0)</f>
        <v>0</v>
      </c>
      <c r="P102" s="478">
        <f t="shared" si="28"/>
        <v>0</v>
      </c>
    </row>
    <row r="103" spans="1:16">
      <c r="B103" s="160" t="str">
        <f t="shared" si="29"/>
        <v/>
      </c>
      <c r="C103" s="472">
        <f>IF(D93="","-",+C102+1)</f>
        <v>2010</v>
      </c>
      <c r="D103" s="473">
        <v>362098</v>
      </c>
      <c r="E103" s="480">
        <v>7603</v>
      </c>
      <c r="F103" s="479">
        <v>354495</v>
      </c>
      <c r="G103" s="479">
        <v>358296.5</v>
      </c>
      <c r="H103" s="480">
        <v>65222.531099646738</v>
      </c>
      <c r="I103" s="481">
        <v>65222.531099646738</v>
      </c>
      <c r="J103" s="478">
        <f t="shared" si="27"/>
        <v>0</v>
      </c>
      <c r="K103" s="478"/>
      <c r="L103" s="540">
        <f t="shared" si="30"/>
        <v>65222.531099646738</v>
      </c>
      <c r="M103" s="541">
        <f t="shared" si="31"/>
        <v>0</v>
      </c>
      <c r="N103" s="540">
        <f t="shared" si="32"/>
        <v>65222.531099646738</v>
      </c>
      <c r="O103" s="478">
        <f t="shared" si="33"/>
        <v>0</v>
      </c>
      <c r="P103" s="478">
        <f t="shared" si="28"/>
        <v>0</v>
      </c>
    </row>
    <row r="104" spans="1:16">
      <c r="B104" s="160" t="str">
        <f t="shared" si="29"/>
        <v/>
      </c>
      <c r="C104" s="472">
        <f>IF(D93="","-",+C103+1)</f>
        <v>2011</v>
      </c>
      <c r="D104" s="473">
        <v>354495</v>
      </c>
      <c r="E104" s="480">
        <v>7457</v>
      </c>
      <c r="F104" s="479">
        <v>347038</v>
      </c>
      <c r="G104" s="479">
        <v>350766.5</v>
      </c>
      <c r="H104" s="480">
        <v>56498.870276795831</v>
      </c>
      <c r="I104" s="481">
        <v>56498.870276795831</v>
      </c>
      <c r="J104" s="478">
        <f t="shared" si="27"/>
        <v>0</v>
      </c>
      <c r="K104" s="478"/>
      <c r="L104" s="540">
        <f t="shared" si="30"/>
        <v>56498.870276795831</v>
      </c>
      <c r="M104" s="541">
        <f t="shared" si="31"/>
        <v>0</v>
      </c>
      <c r="N104" s="540">
        <f t="shared" si="32"/>
        <v>56498.870276795831</v>
      </c>
      <c r="O104" s="478">
        <f t="shared" si="33"/>
        <v>0</v>
      </c>
      <c r="P104" s="478">
        <f t="shared" si="28"/>
        <v>0</v>
      </c>
    </row>
    <row r="105" spans="1:16">
      <c r="B105" s="160" t="str">
        <f t="shared" si="29"/>
        <v/>
      </c>
      <c r="C105" s="472">
        <f>IF(D93="","-",+C104+1)</f>
        <v>2012</v>
      </c>
      <c r="D105" s="473">
        <v>347038</v>
      </c>
      <c r="E105" s="480">
        <v>7457</v>
      </c>
      <c r="F105" s="479">
        <v>339581</v>
      </c>
      <c r="G105" s="479">
        <v>343309.5</v>
      </c>
      <c r="H105" s="480">
        <v>56843.953528154576</v>
      </c>
      <c r="I105" s="481">
        <v>56843.953528154576</v>
      </c>
      <c r="J105" s="478">
        <v>0</v>
      </c>
      <c r="K105" s="478"/>
      <c r="L105" s="540">
        <f t="shared" si="30"/>
        <v>56843.953528154576</v>
      </c>
      <c r="M105" s="541">
        <f t="shared" ref="M105:M110" si="34">IF(L105&lt;&gt;0,+H105-L105,0)</f>
        <v>0</v>
      </c>
      <c r="N105" s="540">
        <f t="shared" si="32"/>
        <v>56843.953528154576</v>
      </c>
      <c r="O105" s="478">
        <f t="shared" ref="O105:O110" si="35">IF(N105&lt;&gt;0,+I105-N105,0)</f>
        <v>0</v>
      </c>
      <c r="P105" s="478">
        <f t="shared" ref="P105:P110" si="36">+O105-M105</f>
        <v>0</v>
      </c>
    </row>
    <row r="106" spans="1:16">
      <c r="B106" s="160" t="str">
        <f t="shared" si="29"/>
        <v/>
      </c>
      <c r="C106" s="472">
        <f>IF(D93="","-",+C105+1)</f>
        <v>2013</v>
      </c>
      <c r="D106" s="473">
        <v>339581</v>
      </c>
      <c r="E106" s="480">
        <v>7457</v>
      </c>
      <c r="F106" s="479">
        <v>332124</v>
      </c>
      <c r="G106" s="479">
        <v>335852.5</v>
      </c>
      <c r="H106" s="480">
        <v>55799.472473591821</v>
      </c>
      <c r="I106" s="481">
        <v>55799.472473591821</v>
      </c>
      <c r="J106" s="478">
        <v>0</v>
      </c>
      <c r="K106" s="478"/>
      <c r="L106" s="540">
        <f t="shared" si="30"/>
        <v>55799.472473591821</v>
      </c>
      <c r="M106" s="541">
        <f t="shared" si="34"/>
        <v>0</v>
      </c>
      <c r="N106" s="540">
        <f t="shared" si="32"/>
        <v>55799.472473591821</v>
      </c>
      <c r="O106" s="478">
        <f t="shared" si="35"/>
        <v>0</v>
      </c>
      <c r="P106" s="478">
        <f t="shared" si="36"/>
        <v>0</v>
      </c>
    </row>
    <row r="107" spans="1:16">
      <c r="B107" s="160" t="str">
        <f t="shared" si="29"/>
        <v/>
      </c>
      <c r="C107" s="472">
        <f>IF(D93="","-",+C106+1)</f>
        <v>2014</v>
      </c>
      <c r="D107" s="473">
        <v>332124</v>
      </c>
      <c r="E107" s="480">
        <v>7457</v>
      </c>
      <c r="F107" s="479">
        <v>324667</v>
      </c>
      <c r="G107" s="479">
        <v>328395.5</v>
      </c>
      <c r="H107" s="480">
        <v>53628.064898886892</v>
      </c>
      <c r="I107" s="481">
        <v>53628.064898886892</v>
      </c>
      <c r="J107" s="478">
        <v>0</v>
      </c>
      <c r="K107" s="478"/>
      <c r="L107" s="540">
        <f t="shared" si="30"/>
        <v>53628.064898886892</v>
      </c>
      <c r="M107" s="541">
        <f t="shared" si="34"/>
        <v>0</v>
      </c>
      <c r="N107" s="540">
        <f t="shared" si="32"/>
        <v>53628.064898886892</v>
      </c>
      <c r="O107" s="478">
        <f t="shared" si="35"/>
        <v>0</v>
      </c>
      <c r="P107" s="478">
        <f t="shared" si="36"/>
        <v>0</v>
      </c>
    </row>
    <row r="108" spans="1:16">
      <c r="B108" s="160" t="str">
        <f t="shared" si="29"/>
        <v/>
      </c>
      <c r="C108" s="472">
        <f>IF(D93="","-",+C107+1)</f>
        <v>2015</v>
      </c>
      <c r="D108" s="473">
        <v>324667</v>
      </c>
      <c r="E108" s="480">
        <v>7457</v>
      </c>
      <c r="F108" s="479">
        <v>317210</v>
      </c>
      <c r="G108" s="479">
        <v>320938.5</v>
      </c>
      <c r="H108" s="480">
        <v>51246.477852296055</v>
      </c>
      <c r="I108" s="481">
        <v>51246.477852296055</v>
      </c>
      <c r="J108" s="478">
        <f t="shared" si="27"/>
        <v>0</v>
      </c>
      <c r="K108" s="478"/>
      <c r="L108" s="540">
        <f t="shared" ref="L108:L113" si="37">H108</f>
        <v>51246.477852296055</v>
      </c>
      <c r="M108" s="541">
        <f t="shared" si="34"/>
        <v>0</v>
      </c>
      <c r="N108" s="540">
        <f t="shared" ref="N108:N113" si="38">I108</f>
        <v>51246.477852296055</v>
      </c>
      <c r="O108" s="478">
        <f t="shared" si="35"/>
        <v>0</v>
      </c>
      <c r="P108" s="478">
        <f t="shared" si="36"/>
        <v>0</v>
      </c>
    </row>
    <row r="109" spans="1:16">
      <c r="B109" s="160" t="str">
        <f t="shared" si="29"/>
        <v/>
      </c>
      <c r="C109" s="472">
        <f>IF(D93="","-",+C108+1)</f>
        <v>2016</v>
      </c>
      <c r="D109" s="473">
        <v>317210</v>
      </c>
      <c r="E109" s="480">
        <v>8429</v>
      </c>
      <c r="F109" s="479">
        <v>308781</v>
      </c>
      <c r="G109" s="479">
        <v>312995.5</v>
      </c>
      <c r="H109" s="480">
        <v>48779.04927680167</v>
      </c>
      <c r="I109" s="481">
        <v>48779.04927680167</v>
      </c>
      <c r="J109" s="478">
        <f t="shared" si="27"/>
        <v>0</v>
      </c>
      <c r="K109" s="478"/>
      <c r="L109" s="540">
        <f t="shared" si="37"/>
        <v>48779.04927680167</v>
      </c>
      <c r="M109" s="541">
        <f t="shared" si="34"/>
        <v>0</v>
      </c>
      <c r="N109" s="540">
        <f t="shared" si="38"/>
        <v>48779.04927680167</v>
      </c>
      <c r="O109" s="478">
        <f t="shared" si="35"/>
        <v>0</v>
      </c>
      <c r="P109" s="478">
        <f t="shared" si="36"/>
        <v>0</v>
      </c>
    </row>
    <row r="110" spans="1:16">
      <c r="B110" s="160" t="str">
        <f t="shared" si="29"/>
        <v/>
      </c>
      <c r="C110" s="472">
        <f>IF(D93="","-",+C109+1)</f>
        <v>2017</v>
      </c>
      <c r="D110" s="473">
        <v>308781</v>
      </c>
      <c r="E110" s="480">
        <v>8429</v>
      </c>
      <c r="F110" s="479">
        <v>300352</v>
      </c>
      <c r="G110" s="479">
        <v>304566.5</v>
      </c>
      <c r="H110" s="480">
        <v>47064.028489702585</v>
      </c>
      <c r="I110" s="481">
        <v>47064.028489702585</v>
      </c>
      <c r="J110" s="478">
        <f t="shared" si="27"/>
        <v>0</v>
      </c>
      <c r="K110" s="478"/>
      <c r="L110" s="540">
        <f t="shared" si="37"/>
        <v>47064.028489702585</v>
      </c>
      <c r="M110" s="541">
        <f t="shared" si="34"/>
        <v>0</v>
      </c>
      <c r="N110" s="540">
        <f t="shared" si="38"/>
        <v>47064.028489702585</v>
      </c>
      <c r="O110" s="478">
        <f t="shared" si="35"/>
        <v>0</v>
      </c>
      <c r="P110" s="478">
        <f t="shared" si="36"/>
        <v>0</v>
      </c>
    </row>
    <row r="111" spans="1:16">
      <c r="B111" s="160" t="str">
        <f t="shared" si="29"/>
        <v/>
      </c>
      <c r="C111" s="472">
        <f>IF(D93="","-",+C110+1)</f>
        <v>2018</v>
      </c>
      <c r="D111" s="473">
        <v>300352</v>
      </c>
      <c r="E111" s="480">
        <v>9017</v>
      </c>
      <c r="F111" s="479">
        <v>291335</v>
      </c>
      <c r="G111" s="479">
        <v>295843.5</v>
      </c>
      <c r="H111" s="480">
        <v>39410.649664559314</v>
      </c>
      <c r="I111" s="481">
        <v>39410.649664559314</v>
      </c>
      <c r="J111" s="478">
        <f t="shared" si="27"/>
        <v>0</v>
      </c>
      <c r="K111" s="478"/>
      <c r="L111" s="540">
        <f t="shared" si="37"/>
        <v>39410.649664559314</v>
      </c>
      <c r="M111" s="541">
        <f t="shared" ref="M111" si="39">IF(L111&lt;&gt;0,+H111-L111,0)</f>
        <v>0</v>
      </c>
      <c r="N111" s="540">
        <f t="shared" si="38"/>
        <v>39410.649664559314</v>
      </c>
      <c r="O111" s="478">
        <f t="shared" ref="O111" si="40">IF(N111&lt;&gt;0,+I111-N111,0)</f>
        <v>0</v>
      </c>
      <c r="P111" s="478">
        <f t="shared" ref="P111" si="41">+O111-M111</f>
        <v>0</v>
      </c>
    </row>
    <row r="112" spans="1:16">
      <c r="B112" s="160" t="str">
        <f t="shared" si="29"/>
        <v/>
      </c>
      <c r="C112" s="472">
        <f>IF(D93="","-",+C111+1)</f>
        <v>2019</v>
      </c>
      <c r="D112" s="473">
        <v>291335</v>
      </c>
      <c r="E112" s="480">
        <v>9457</v>
      </c>
      <c r="F112" s="479">
        <v>281878</v>
      </c>
      <c r="G112" s="479">
        <v>286606.5</v>
      </c>
      <c r="H112" s="480">
        <v>39010.150115878176</v>
      </c>
      <c r="I112" s="481">
        <v>39010.150115878176</v>
      </c>
      <c r="J112" s="478">
        <f t="shared" si="27"/>
        <v>0</v>
      </c>
      <c r="K112" s="478"/>
      <c r="L112" s="540">
        <f t="shared" si="37"/>
        <v>39010.150115878176</v>
      </c>
      <c r="M112" s="541">
        <f t="shared" ref="M112" si="42">IF(L112&lt;&gt;0,+H112-L112,0)</f>
        <v>0</v>
      </c>
      <c r="N112" s="540">
        <f t="shared" si="38"/>
        <v>39010.150115878176</v>
      </c>
      <c r="O112" s="478">
        <f t="shared" si="33"/>
        <v>0</v>
      </c>
      <c r="P112" s="478">
        <f t="shared" si="28"/>
        <v>0</v>
      </c>
    </row>
    <row r="113" spans="2:16">
      <c r="B113" s="160" t="str">
        <f t="shared" si="29"/>
        <v/>
      </c>
      <c r="C113" s="472">
        <f>IF(D93="","-",+C112+1)</f>
        <v>2020</v>
      </c>
      <c r="D113" s="473">
        <v>281878</v>
      </c>
      <c r="E113" s="480">
        <v>9017</v>
      </c>
      <c r="F113" s="479">
        <v>272861</v>
      </c>
      <c r="G113" s="479">
        <v>277369.5</v>
      </c>
      <c r="H113" s="480">
        <v>40996.940785437022</v>
      </c>
      <c r="I113" s="481">
        <v>40996.940785437022</v>
      </c>
      <c r="J113" s="478">
        <f t="shared" si="27"/>
        <v>0</v>
      </c>
      <c r="K113" s="478"/>
      <c r="L113" s="540">
        <f t="shared" si="37"/>
        <v>40996.940785437022</v>
      </c>
      <c r="M113" s="541">
        <f t="shared" ref="M113" si="43">IF(L113&lt;&gt;0,+H113-L113,0)</f>
        <v>0</v>
      </c>
      <c r="N113" s="540">
        <f t="shared" si="38"/>
        <v>40996.940785437022</v>
      </c>
      <c r="O113" s="478">
        <f t="shared" si="33"/>
        <v>0</v>
      </c>
      <c r="P113" s="478">
        <f t="shared" si="28"/>
        <v>0</v>
      </c>
    </row>
    <row r="114" spans="2:16">
      <c r="B114" s="160" t="str">
        <f t="shared" si="29"/>
        <v/>
      </c>
      <c r="C114" s="472">
        <f>IF(D93="","-",+C113+1)</f>
        <v>2021</v>
      </c>
      <c r="D114" s="473">
        <v>272861</v>
      </c>
      <c r="E114" s="480">
        <v>9457</v>
      </c>
      <c r="F114" s="479">
        <v>263404</v>
      </c>
      <c r="G114" s="479">
        <v>268132.5</v>
      </c>
      <c r="H114" s="480">
        <v>39968.546077508974</v>
      </c>
      <c r="I114" s="481">
        <v>39968.546077508974</v>
      </c>
      <c r="J114" s="478">
        <f t="shared" si="27"/>
        <v>0</v>
      </c>
      <c r="K114" s="478"/>
      <c r="L114" s="540">
        <f t="shared" ref="L114" si="44">H114</f>
        <v>39968.546077508974</v>
      </c>
      <c r="M114" s="541">
        <f t="shared" ref="M114" si="45">IF(L114&lt;&gt;0,+H114-L114,0)</f>
        <v>0</v>
      </c>
      <c r="N114" s="540">
        <f t="shared" ref="N114" si="46">I114</f>
        <v>39968.546077508974</v>
      </c>
      <c r="O114" s="478">
        <f t="shared" si="33"/>
        <v>0</v>
      </c>
      <c r="P114" s="478">
        <f t="shared" si="28"/>
        <v>0</v>
      </c>
    </row>
    <row r="115" spans="2:16">
      <c r="B115" s="160" t="str">
        <f t="shared" si="29"/>
        <v/>
      </c>
      <c r="C115" s="472">
        <f>IF(D93="","-",+C114+1)</f>
        <v>2022</v>
      </c>
      <c r="D115" s="347">
        <f>IF(F114+SUM(E$99:E114)=D$92,F114,D$92-SUM(E$99:E114))</f>
        <v>263404</v>
      </c>
      <c r="E115" s="486">
        <f>IF(+J96&lt;F114,J96,D115)</f>
        <v>9942</v>
      </c>
      <c r="F115" s="485">
        <f t="shared" ref="F115:F130" si="47">+D115-E115</f>
        <v>253462</v>
      </c>
      <c r="G115" s="485">
        <f t="shared" ref="G115:G130" si="48">+(F115+D115)/2</f>
        <v>258433</v>
      </c>
      <c r="H115" s="486">
        <f t="shared" ref="H115:H153" si="49">(D115+F115)/2*J$94+E115</f>
        <v>38416.833530612799</v>
      </c>
      <c r="I115" s="542">
        <f t="shared" ref="I115:I153" si="50">+J$95*G115+E115</f>
        <v>38416.833530612799</v>
      </c>
      <c r="J115" s="478">
        <f t="shared" si="27"/>
        <v>0</v>
      </c>
      <c r="K115" s="478"/>
      <c r="L115" s="487"/>
      <c r="M115" s="478">
        <f t="shared" si="31"/>
        <v>0</v>
      </c>
      <c r="N115" s="487"/>
      <c r="O115" s="478">
        <f t="shared" si="33"/>
        <v>0</v>
      </c>
      <c r="P115" s="478">
        <f t="shared" si="28"/>
        <v>0</v>
      </c>
    </row>
    <row r="116" spans="2:16">
      <c r="B116" s="160" t="str">
        <f t="shared" si="29"/>
        <v/>
      </c>
      <c r="C116" s="472">
        <f>IF(D93="","-",+C115+1)</f>
        <v>2023</v>
      </c>
      <c r="D116" s="347">
        <f>IF(F115+SUM(E$99:E115)=D$92,F115,D$92-SUM(E$99:E115))</f>
        <v>253462</v>
      </c>
      <c r="E116" s="486">
        <f>IF(+J96&lt;F115,J96,D116)</f>
        <v>9942</v>
      </c>
      <c r="F116" s="485">
        <f t="shared" si="47"/>
        <v>243520</v>
      </c>
      <c r="G116" s="485">
        <f t="shared" si="48"/>
        <v>248491</v>
      </c>
      <c r="H116" s="486">
        <f t="shared" si="49"/>
        <v>37321.397595723087</v>
      </c>
      <c r="I116" s="542">
        <f t="shared" si="50"/>
        <v>37321.397595723087</v>
      </c>
      <c r="J116" s="478">
        <f t="shared" si="27"/>
        <v>0</v>
      </c>
      <c r="K116" s="478"/>
      <c r="L116" s="487"/>
      <c r="M116" s="478">
        <f t="shared" si="31"/>
        <v>0</v>
      </c>
      <c r="N116" s="487"/>
      <c r="O116" s="478">
        <f t="shared" si="33"/>
        <v>0</v>
      </c>
      <c r="P116" s="478">
        <f t="shared" si="28"/>
        <v>0</v>
      </c>
    </row>
    <row r="117" spans="2:16">
      <c r="B117" s="160" t="str">
        <f t="shared" si="29"/>
        <v/>
      </c>
      <c r="C117" s="472">
        <f>IF(D93="","-",+C116+1)</f>
        <v>2024</v>
      </c>
      <c r="D117" s="347">
        <f>IF(F116+SUM(E$99:E116)=D$92,F116,D$92-SUM(E$99:E116))</f>
        <v>243520</v>
      </c>
      <c r="E117" s="486">
        <f>IF(+J96&lt;F116,J96,D117)</f>
        <v>9942</v>
      </c>
      <c r="F117" s="485">
        <f t="shared" si="47"/>
        <v>233578</v>
      </c>
      <c r="G117" s="485">
        <f t="shared" si="48"/>
        <v>238549</v>
      </c>
      <c r="H117" s="486">
        <f t="shared" si="49"/>
        <v>36225.961660833374</v>
      </c>
      <c r="I117" s="542">
        <f t="shared" si="50"/>
        <v>36225.961660833374</v>
      </c>
      <c r="J117" s="478">
        <f t="shared" si="27"/>
        <v>0</v>
      </c>
      <c r="K117" s="478"/>
      <c r="L117" s="487"/>
      <c r="M117" s="478">
        <f t="shared" si="31"/>
        <v>0</v>
      </c>
      <c r="N117" s="487"/>
      <c r="O117" s="478">
        <f t="shared" si="33"/>
        <v>0</v>
      </c>
      <c r="P117" s="478">
        <f t="shared" si="28"/>
        <v>0</v>
      </c>
    </row>
    <row r="118" spans="2:16">
      <c r="B118" s="160" t="str">
        <f t="shared" si="29"/>
        <v/>
      </c>
      <c r="C118" s="472">
        <f>IF(D93="","-",+C117+1)</f>
        <v>2025</v>
      </c>
      <c r="D118" s="347">
        <f>IF(F117+SUM(E$99:E117)=D$92,F117,D$92-SUM(E$99:E117))</f>
        <v>233578</v>
      </c>
      <c r="E118" s="486">
        <f>IF(+J96&lt;F117,J96,D118)</f>
        <v>9942</v>
      </c>
      <c r="F118" s="485">
        <f t="shared" si="47"/>
        <v>223636</v>
      </c>
      <c r="G118" s="485">
        <f t="shared" si="48"/>
        <v>228607</v>
      </c>
      <c r="H118" s="486">
        <f t="shared" si="49"/>
        <v>35130.525725943669</v>
      </c>
      <c r="I118" s="542">
        <f t="shared" si="50"/>
        <v>35130.525725943669</v>
      </c>
      <c r="J118" s="478">
        <f t="shared" si="27"/>
        <v>0</v>
      </c>
      <c r="K118" s="478"/>
      <c r="L118" s="487"/>
      <c r="M118" s="478">
        <f t="shared" si="31"/>
        <v>0</v>
      </c>
      <c r="N118" s="487"/>
      <c r="O118" s="478">
        <f t="shared" si="33"/>
        <v>0</v>
      </c>
      <c r="P118" s="478">
        <f t="shared" si="28"/>
        <v>0</v>
      </c>
    </row>
    <row r="119" spans="2:16">
      <c r="B119" s="160" t="str">
        <f t="shared" si="29"/>
        <v/>
      </c>
      <c r="C119" s="472">
        <f>IF(D93="","-",+C118+1)</f>
        <v>2026</v>
      </c>
      <c r="D119" s="347">
        <f>IF(F118+SUM(E$99:E118)=D$92,F118,D$92-SUM(E$99:E118))</f>
        <v>223636</v>
      </c>
      <c r="E119" s="486">
        <f>IF(+J96&lt;F118,J96,D119)</f>
        <v>9942</v>
      </c>
      <c r="F119" s="485">
        <f t="shared" si="47"/>
        <v>213694</v>
      </c>
      <c r="G119" s="485">
        <f t="shared" si="48"/>
        <v>218665</v>
      </c>
      <c r="H119" s="486">
        <f t="shared" si="49"/>
        <v>34035.089791053964</v>
      </c>
      <c r="I119" s="542">
        <f t="shared" si="50"/>
        <v>34035.089791053964</v>
      </c>
      <c r="J119" s="478">
        <f t="shared" si="27"/>
        <v>0</v>
      </c>
      <c r="K119" s="478"/>
      <c r="L119" s="487"/>
      <c r="M119" s="478">
        <f t="shared" si="31"/>
        <v>0</v>
      </c>
      <c r="N119" s="487"/>
      <c r="O119" s="478">
        <f t="shared" si="33"/>
        <v>0</v>
      </c>
      <c r="P119" s="478">
        <f t="shared" si="28"/>
        <v>0</v>
      </c>
    </row>
    <row r="120" spans="2:16">
      <c r="B120" s="160" t="str">
        <f t="shared" si="29"/>
        <v/>
      </c>
      <c r="C120" s="472">
        <f>IF(D93="","-",+C119+1)</f>
        <v>2027</v>
      </c>
      <c r="D120" s="347">
        <f>IF(F119+SUM(E$99:E119)=D$92,F119,D$92-SUM(E$99:E119))</f>
        <v>213694</v>
      </c>
      <c r="E120" s="486">
        <f>IF(+J96&lt;F119,J96,D120)</f>
        <v>9942</v>
      </c>
      <c r="F120" s="485">
        <f t="shared" si="47"/>
        <v>203752</v>
      </c>
      <c r="G120" s="485">
        <f t="shared" si="48"/>
        <v>208723</v>
      </c>
      <c r="H120" s="486">
        <f t="shared" si="49"/>
        <v>32939.653856164252</v>
      </c>
      <c r="I120" s="542">
        <f t="shared" si="50"/>
        <v>32939.653856164252</v>
      </c>
      <c r="J120" s="478">
        <f t="shared" si="27"/>
        <v>0</v>
      </c>
      <c r="K120" s="478"/>
      <c r="L120" s="487"/>
      <c r="M120" s="478">
        <f t="shared" si="31"/>
        <v>0</v>
      </c>
      <c r="N120" s="487"/>
      <c r="O120" s="478">
        <f t="shared" si="33"/>
        <v>0</v>
      </c>
      <c r="P120" s="478">
        <f t="shared" si="28"/>
        <v>0</v>
      </c>
    </row>
    <row r="121" spans="2:16">
      <c r="B121" s="160" t="str">
        <f t="shared" si="29"/>
        <v/>
      </c>
      <c r="C121" s="472">
        <f>IF(D93="","-",+C120+1)</f>
        <v>2028</v>
      </c>
      <c r="D121" s="347">
        <f>IF(F120+SUM(E$99:E120)=D$92,F120,D$92-SUM(E$99:E120))</f>
        <v>203752</v>
      </c>
      <c r="E121" s="486">
        <f>IF(+J96&lt;F120,J96,D121)</f>
        <v>9942</v>
      </c>
      <c r="F121" s="485">
        <f t="shared" si="47"/>
        <v>193810</v>
      </c>
      <c r="G121" s="485">
        <f t="shared" si="48"/>
        <v>198781</v>
      </c>
      <c r="H121" s="486">
        <f t="shared" si="49"/>
        <v>31844.21792127454</v>
      </c>
      <c r="I121" s="542">
        <f t="shared" si="50"/>
        <v>31844.21792127454</v>
      </c>
      <c r="J121" s="478">
        <f t="shared" si="27"/>
        <v>0</v>
      </c>
      <c r="K121" s="478"/>
      <c r="L121" s="487"/>
      <c r="M121" s="478">
        <f t="shared" si="31"/>
        <v>0</v>
      </c>
      <c r="N121" s="487"/>
      <c r="O121" s="478">
        <f t="shared" si="33"/>
        <v>0</v>
      </c>
      <c r="P121" s="478">
        <f t="shared" si="28"/>
        <v>0</v>
      </c>
    </row>
    <row r="122" spans="2:16">
      <c r="B122" s="160" t="str">
        <f t="shared" si="29"/>
        <v/>
      </c>
      <c r="C122" s="472">
        <f>IF(D93="","-",+C121+1)</f>
        <v>2029</v>
      </c>
      <c r="D122" s="347">
        <f>IF(F121+SUM(E$99:E121)=D$92,F121,D$92-SUM(E$99:E121))</f>
        <v>193810</v>
      </c>
      <c r="E122" s="486">
        <f>IF(+J96&lt;F121,J96,D122)</f>
        <v>9942</v>
      </c>
      <c r="F122" s="485">
        <f t="shared" si="47"/>
        <v>183868</v>
      </c>
      <c r="G122" s="485">
        <f t="shared" si="48"/>
        <v>188839</v>
      </c>
      <c r="H122" s="486">
        <f t="shared" si="49"/>
        <v>30748.781986384827</v>
      </c>
      <c r="I122" s="542">
        <f t="shared" si="50"/>
        <v>30748.781986384827</v>
      </c>
      <c r="J122" s="478">
        <f t="shared" si="27"/>
        <v>0</v>
      </c>
      <c r="K122" s="478"/>
      <c r="L122" s="487"/>
      <c r="M122" s="478">
        <f t="shared" si="31"/>
        <v>0</v>
      </c>
      <c r="N122" s="487"/>
      <c r="O122" s="478">
        <f t="shared" si="33"/>
        <v>0</v>
      </c>
      <c r="P122" s="478">
        <f t="shared" si="28"/>
        <v>0</v>
      </c>
    </row>
    <row r="123" spans="2:16">
      <c r="B123" s="160" t="str">
        <f t="shared" si="29"/>
        <v/>
      </c>
      <c r="C123" s="472">
        <f>IF(D93="","-",+C122+1)</f>
        <v>2030</v>
      </c>
      <c r="D123" s="347">
        <f>IF(F122+SUM(E$99:E122)=D$92,F122,D$92-SUM(E$99:E122))</f>
        <v>183868</v>
      </c>
      <c r="E123" s="486">
        <f>IF(+J96&lt;F122,J96,D123)</f>
        <v>9942</v>
      </c>
      <c r="F123" s="485">
        <f t="shared" si="47"/>
        <v>173926</v>
      </c>
      <c r="G123" s="485">
        <f t="shared" si="48"/>
        <v>178897</v>
      </c>
      <c r="H123" s="486">
        <f t="shared" si="49"/>
        <v>29653.346051495118</v>
      </c>
      <c r="I123" s="542">
        <f t="shared" si="50"/>
        <v>29653.346051495118</v>
      </c>
      <c r="J123" s="478">
        <f t="shared" si="27"/>
        <v>0</v>
      </c>
      <c r="K123" s="478"/>
      <c r="L123" s="487"/>
      <c r="M123" s="478">
        <f t="shared" si="31"/>
        <v>0</v>
      </c>
      <c r="N123" s="487"/>
      <c r="O123" s="478">
        <f t="shared" si="33"/>
        <v>0</v>
      </c>
      <c r="P123" s="478">
        <f t="shared" si="28"/>
        <v>0</v>
      </c>
    </row>
    <row r="124" spans="2:16">
      <c r="B124" s="160" t="str">
        <f t="shared" si="29"/>
        <v/>
      </c>
      <c r="C124" s="472">
        <f>IF(D93="","-",+C123+1)</f>
        <v>2031</v>
      </c>
      <c r="D124" s="347">
        <f>IF(F123+SUM(E$99:E123)=D$92,F123,D$92-SUM(E$99:E123))</f>
        <v>173926</v>
      </c>
      <c r="E124" s="486">
        <f>IF(+J96&lt;F123,J96,D124)</f>
        <v>9942</v>
      </c>
      <c r="F124" s="485">
        <f t="shared" si="47"/>
        <v>163984</v>
      </c>
      <c r="G124" s="485">
        <f t="shared" si="48"/>
        <v>168955</v>
      </c>
      <c r="H124" s="486">
        <f t="shared" si="49"/>
        <v>28557.91011660541</v>
      </c>
      <c r="I124" s="542">
        <f t="shared" si="50"/>
        <v>28557.91011660541</v>
      </c>
      <c r="J124" s="478">
        <f t="shared" si="27"/>
        <v>0</v>
      </c>
      <c r="K124" s="478"/>
      <c r="L124" s="487"/>
      <c r="M124" s="478">
        <f t="shared" si="31"/>
        <v>0</v>
      </c>
      <c r="N124" s="487"/>
      <c r="O124" s="478">
        <f t="shared" si="33"/>
        <v>0</v>
      </c>
      <c r="P124" s="478">
        <f t="shared" si="28"/>
        <v>0</v>
      </c>
    </row>
    <row r="125" spans="2:16">
      <c r="B125" s="160" t="str">
        <f t="shared" si="29"/>
        <v/>
      </c>
      <c r="C125" s="472">
        <f>IF(D93="","-",+C124+1)</f>
        <v>2032</v>
      </c>
      <c r="D125" s="347">
        <f>IF(F124+SUM(E$99:E124)=D$92,F124,D$92-SUM(E$99:E124))</f>
        <v>163984</v>
      </c>
      <c r="E125" s="486">
        <f>IF(+J96&lt;F124,J96,D125)</f>
        <v>9942</v>
      </c>
      <c r="F125" s="485">
        <f t="shared" si="47"/>
        <v>154042</v>
      </c>
      <c r="G125" s="485">
        <f t="shared" si="48"/>
        <v>159013</v>
      </c>
      <c r="H125" s="486">
        <f t="shared" si="49"/>
        <v>27462.474181715697</v>
      </c>
      <c r="I125" s="542">
        <f t="shared" si="50"/>
        <v>27462.474181715697</v>
      </c>
      <c r="J125" s="478">
        <f t="shared" si="27"/>
        <v>0</v>
      </c>
      <c r="K125" s="478"/>
      <c r="L125" s="487"/>
      <c r="M125" s="478">
        <f t="shared" si="31"/>
        <v>0</v>
      </c>
      <c r="N125" s="487"/>
      <c r="O125" s="478">
        <f t="shared" si="33"/>
        <v>0</v>
      </c>
      <c r="P125" s="478">
        <f t="shared" si="28"/>
        <v>0</v>
      </c>
    </row>
    <row r="126" spans="2:16">
      <c r="B126" s="160" t="str">
        <f t="shared" si="29"/>
        <v/>
      </c>
      <c r="C126" s="472">
        <f>IF(D93="","-",+C125+1)</f>
        <v>2033</v>
      </c>
      <c r="D126" s="347">
        <f>IF(F125+SUM(E$99:E125)=D$92,F125,D$92-SUM(E$99:E125))</f>
        <v>154042</v>
      </c>
      <c r="E126" s="486">
        <f>IF(+J96&lt;F125,J96,D126)</f>
        <v>9942</v>
      </c>
      <c r="F126" s="485">
        <f t="shared" si="47"/>
        <v>144100</v>
      </c>
      <c r="G126" s="485">
        <f t="shared" si="48"/>
        <v>149071</v>
      </c>
      <c r="H126" s="486">
        <f t="shared" si="49"/>
        <v>26367.038246825989</v>
      </c>
      <c r="I126" s="542">
        <f t="shared" si="50"/>
        <v>26367.038246825989</v>
      </c>
      <c r="J126" s="478">
        <f t="shared" si="27"/>
        <v>0</v>
      </c>
      <c r="K126" s="478"/>
      <c r="L126" s="487"/>
      <c r="M126" s="478">
        <f t="shared" si="31"/>
        <v>0</v>
      </c>
      <c r="N126" s="487"/>
      <c r="O126" s="478">
        <f t="shared" si="33"/>
        <v>0</v>
      </c>
      <c r="P126" s="478">
        <f t="shared" si="28"/>
        <v>0</v>
      </c>
    </row>
    <row r="127" spans="2:16">
      <c r="B127" s="160" t="str">
        <f t="shared" si="29"/>
        <v/>
      </c>
      <c r="C127" s="472">
        <f>IF(D93="","-",+C126+1)</f>
        <v>2034</v>
      </c>
      <c r="D127" s="347">
        <f>IF(F126+SUM(E$99:E126)=D$92,F126,D$92-SUM(E$99:E126))</f>
        <v>144100</v>
      </c>
      <c r="E127" s="486">
        <f>IF(+J96&lt;F126,J96,D127)</f>
        <v>9942</v>
      </c>
      <c r="F127" s="485">
        <f t="shared" si="47"/>
        <v>134158</v>
      </c>
      <c r="G127" s="485">
        <f t="shared" si="48"/>
        <v>139129</v>
      </c>
      <c r="H127" s="486">
        <f t="shared" si="49"/>
        <v>25271.60231193628</v>
      </c>
      <c r="I127" s="542">
        <f t="shared" si="50"/>
        <v>25271.60231193628</v>
      </c>
      <c r="J127" s="478">
        <f t="shared" si="27"/>
        <v>0</v>
      </c>
      <c r="K127" s="478"/>
      <c r="L127" s="487"/>
      <c r="M127" s="478">
        <f t="shared" si="31"/>
        <v>0</v>
      </c>
      <c r="N127" s="487"/>
      <c r="O127" s="478">
        <f t="shared" si="33"/>
        <v>0</v>
      </c>
      <c r="P127" s="478">
        <f t="shared" si="28"/>
        <v>0</v>
      </c>
    </row>
    <row r="128" spans="2:16">
      <c r="B128" s="160" t="str">
        <f t="shared" si="29"/>
        <v/>
      </c>
      <c r="C128" s="472">
        <f>IF(D93="","-",+C127+1)</f>
        <v>2035</v>
      </c>
      <c r="D128" s="347">
        <f>IF(F127+SUM(E$99:E127)=D$92,F127,D$92-SUM(E$99:E127))</f>
        <v>134158</v>
      </c>
      <c r="E128" s="486">
        <f>IF(+J96&lt;F127,J96,D128)</f>
        <v>9942</v>
      </c>
      <c r="F128" s="485">
        <f t="shared" si="47"/>
        <v>124216</v>
      </c>
      <c r="G128" s="485">
        <f t="shared" si="48"/>
        <v>129187</v>
      </c>
      <c r="H128" s="486">
        <f t="shared" si="49"/>
        <v>24176.166377046568</v>
      </c>
      <c r="I128" s="542">
        <f t="shared" si="50"/>
        <v>24176.166377046568</v>
      </c>
      <c r="J128" s="478">
        <f t="shared" si="27"/>
        <v>0</v>
      </c>
      <c r="K128" s="478"/>
      <c r="L128" s="487"/>
      <c r="M128" s="478">
        <f t="shared" si="31"/>
        <v>0</v>
      </c>
      <c r="N128" s="487"/>
      <c r="O128" s="478">
        <f t="shared" si="33"/>
        <v>0</v>
      </c>
      <c r="P128" s="478">
        <f t="shared" si="28"/>
        <v>0</v>
      </c>
    </row>
    <row r="129" spans="2:16">
      <c r="B129" s="160" t="str">
        <f t="shared" si="29"/>
        <v/>
      </c>
      <c r="C129" s="472">
        <f>IF(D93="","-",+C128+1)</f>
        <v>2036</v>
      </c>
      <c r="D129" s="347">
        <f>IF(F128+SUM(E$99:E128)=D$92,F128,D$92-SUM(E$99:E128))</f>
        <v>124216</v>
      </c>
      <c r="E129" s="486">
        <f>IF(+J96&lt;F128,J96,D129)</f>
        <v>9942</v>
      </c>
      <c r="F129" s="485">
        <f t="shared" si="47"/>
        <v>114274</v>
      </c>
      <c r="G129" s="485">
        <f t="shared" si="48"/>
        <v>119245</v>
      </c>
      <c r="H129" s="486">
        <f t="shared" si="49"/>
        <v>23080.730442156859</v>
      </c>
      <c r="I129" s="542">
        <f t="shared" si="50"/>
        <v>23080.730442156859</v>
      </c>
      <c r="J129" s="478">
        <f t="shared" si="27"/>
        <v>0</v>
      </c>
      <c r="K129" s="478"/>
      <c r="L129" s="487"/>
      <c r="M129" s="478">
        <f t="shared" si="31"/>
        <v>0</v>
      </c>
      <c r="N129" s="487"/>
      <c r="O129" s="478">
        <f t="shared" si="33"/>
        <v>0</v>
      </c>
      <c r="P129" s="478">
        <f t="shared" si="28"/>
        <v>0</v>
      </c>
    </row>
    <row r="130" spans="2:16">
      <c r="B130" s="160" t="str">
        <f t="shared" si="29"/>
        <v/>
      </c>
      <c r="C130" s="472">
        <f>IF(D93="","-",+C129+1)</f>
        <v>2037</v>
      </c>
      <c r="D130" s="347">
        <f>IF(F129+SUM(E$99:E129)=D$92,F129,D$92-SUM(E$99:E129))</f>
        <v>114274</v>
      </c>
      <c r="E130" s="486">
        <f>IF(+J96&lt;F129,J96,D130)</f>
        <v>9942</v>
      </c>
      <c r="F130" s="485">
        <f t="shared" si="47"/>
        <v>104332</v>
      </c>
      <c r="G130" s="485">
        <f t="shared" si="48"/>
        <v>109303</v>
      </c>
      <c r="H130" s="486">
        <f t="shared" si="49"/>
        <v>21985.29450726715</v>
      </c>
      <c r="I130" s="542">
        <f t="shared" si="50"/>
        <v>21985.29450726715</v>
      </c>
      <c r="J130" s="478">
        <f t="shared" si="27"/>
        <v>0</v>
      </c>
      <c r="K130" s="478"/>
      <c r="L130" s="487"/>
      <c r="M130" s="478">
        <f t="shared" si="31"/>
        <v>0</v>
      </c>
      <c r="N130" s="487"/>
      <c r="O130" s="478">
        <f t="shared" si="33"/>
        <v>0</v>
      </c>
      <c r="P130" s="478">
        <f t="shared" si="28"/>
        <v>0</v>
      </c>
    </row>
    <row r="131" spans="2:16">
      <c r="B131" s="160" t="str">
        <f t="shared" si="29"/>
        <v/>
      </c>
      <c r="C131" s="472">
        <f>IF(D93="","-",+C130+1)</f>
        <v>2038</v>
      </c>
      <c r="D131" s="347">
        <f>IF(F130+SUM(E$99:E130)=D$92,F130,D$92-SUM(E$99:E130))</f>
        <v>104332</v>
      </c>
      <c r="E131" s="486">
        <f>IF(+J96&lt;F130,J96,D131)</f>
        <v>9942</v>
      </c>
      <c r="F131" s="485">
        <f t="shared" ref="F131:F154" si="51">+D131-E131</f>
        <v>94390</v>
      </c>
      <c r="G131" s="485">
        <f t="shared" ref="G131:G154" si="52">+(F131+D131)/2</f>
        <v>99361</v>
      </c>
      <c r="H131" s="486">
        <f t="shared" si="49"/>
        <v>20889.858572377438</v>
      </c>
      <c r="I131" s="542">
        <f t="shared" si="50"/>
        <v>20889.858572377438</v>
      </c>
      <c r="J131" s="478">
        <f t="shared" ref="J131:J154" si="53">+I131-H131</f>
        <v>0</v>
      </c>
      <c r="K131" s="478"/>
      <c r="L131" s="487"/>
      <c r="M131" s="478">
        <f t="shared" si="31"/>
        <v>0</v>
      </c>
      <c r="N131" s="487"/>
      <c r="O131" s="478">
        <f t="shared" si="33"/>
        <v>0</v>
      </c>
      <c r="P131" s="478">
        <f t="shared" ref="P131:P154" si="54">+O131-M131</f>
        <v>0</v>
      </c>
    </row>
    <row r="132" spans="2:16">
      <c r="B132" s="160" t="str">
        <f t="shared" si="29"/>
        <v/>
      </c>
      <c r="C132" s="472">
        <f>IF(D93="","-",+C131+1)</f>
        <v>2039</v>
      </c>
      <c r="D132" s="347">
        <f>IF(F131+SUM(E$99:E131)=D$92,F131,D$92-SUM(E$99:E131))</f>
        <v>94390</v>
      </c>
      <c r="E132" s="486">
        <f>IF(+J96&lt;F131,J96,D132)</f>
        <v>9942</v>
      </c>
      <c r="F132" s="485">
        <f t="shared" si="51"/>
        <v>84448</v>
      </c>
      <c r="G132" s="485">
        <f t="shared" si="52"/>
        <v>89419</v>
      </c>
      <c r="H132" s="486">
        <f t="shared" si="49"/>
        <v>19794.422637487725</v>
      </c>
      <c r="I132" s="542">
        <f t="shared" si="50"/>
        <v>19794.422637487725</v>
      </c>
      <c r="J132" s="478">
        <f t="shared" si="53"/>
        <v>0</v>
      </c>
      <c r="K132" s="478"/>
      <c r="L132" s="487"/>
      <c r="M132" s="478">
        <f t="shared" si="31"/>
        <v>0</v>
      </c>
      <c r="N132" s="487"/>
      <c r="O132" s="478">
        <f t="shared" si="33"/>
        <v>0</v>
      </c>
      <c r="P132" s="478">
        <f t="shared" si="54"/>
        <v>0</v>
      </c>
    </row>
    <row r="133" spans="2:16">
      <c r="B133" s="160" t="str">
        <f t="shared" si="29"/>
        <v/>
      </c>
      <c r="C133" s="472">
        <f>IF(D93="","-",+C132+1)</f>
        <v>2040</v>
      </c>
      <c r="D133" s="347">
        <f>IF(F132+SUM(E$99:E132)=D$92,F132,D$92-SUM(E$99:E132))</f>
        <v>84448</v>
      </c>
      <c r="E133" s="486">
        <f>IF(+J96&lt;F132,J96,D133)</f>
        <v>9942</v>
      </c>
      <c r="F133" s="485">
        <f t="shared" si="51"/>
        <v>74506</v>
      </c>
      <c r="G133" s="485">
        <f t="shared" si="52"/>
        <v>79477</v>
      </c>
      <c r="H133" s="486">
        <f t="shared" si="49"/>
        <v>18698.98670259802</v>
      </c>
      <c r="I133" s="542">
        <f t="shared" si="50"/>
        <v>18698.98670259802</v>
      </c>
      <c r="J133" s="478">
        <f t="shared" si="53"/>
        <v>0</v>
      </c>
      <c r="K133" s="478"/>
      <c r="L133" s="487"/>
      <c r="M133" s="478">
        <f t="shared" si="31"/>
        <v>0</v>
      </c>
      <c r="N133" s="487"/>
      <c r="O133" s="478">
        <f t="shared" si="33"/>
        <v>0</v>
      </c>
      <c r="P133" s="478">
        <f t="shared" si="54"/>
        <v>0</v>
      </c>
    </row>
    <row r="134" spans="2:16">
      <c r="B134" s="160" t="str">
        <f t="shared" si="29"/>
        <v/>
      </c>
      <c r="C134" s="472">
        <f>IF(D93="","-",+C133+1)</f>
        <v>2041</v>
      </c>
      <c r="D134" s="347">
        <f>IF(F133+SUM(E$99:E133)=D$92,F133,D$92-SUM(E$99:E133))</f>
        <v>74506</v>
      </c>
      <c r="E134" s="486">
        <f>IF(+J96&lt;F133,J96,D134)</f>
        <v>9942</v>
      </c>
      <c r="F134" s="485">
        <f t="shared" si="51"/>
        <v>64564</v>
      </c>
      <c r="G134" s="485">
        <f t="shared" si="52"/>
        <v>69535</v>
      </c>
      <c r="H134" s="486">
        <f t="shared" si="49"/>
        <v>17603.550767708308</v>
      </c>
      <c r="I134" s="542">
        <f t="shared" si="50"/>
        <v>17603.550767708308</v>
      </c>
      <c r="J134" s="478">
        <f t="shared" si="53"/>
        <v>0</v>
      </c>
      <c r="K134" s="478"/>
      <c r="L134" s="487"/>
      <c r="M134" s="478">
        <f t="shared" ref="M134:M154" si="55">IF(L134&lt;&gt;0,+H134-L134,0)</f>
        <v>0</v>
      </c>
      <c r="N134" s="487"/>
      <c r="O134" s="478">
        <f t="shared" ref="O134:O154" si="56">IF(N134&lt;&gt;0,+I134-N134,0)</f>
        <v>0</v>
      </c>
      <c r="P134" s="478">
        <f t="shared" si="54"/>
        <v>0</v>
      </c>
    </row>
    <row r="135" spans="2:16">
      <c r="B135" s="160" t="str">
        <f t="shared" si="29"/>
        <v/>
      </c>
      <c r="C135" s="472">
        <f>IF(D93="","-",+C134+1)</f>
        <v>2042</v>
      </c>
      <c r="D135" s="347">
        <f>IF(F134+SUM(E$99:E134)=D$92,F134,D$92-SUM(E$99:E134))</f>
        <v>64564</v>
      </c>
      <c r="E135" s="486">
        <f>IF(+J96&lt;F134,J96,D135)</f>
        <v>9942</v>
      </c>
      <c r="F135" s="485">
        <f t="shared" si="51"/>
        <v>54622</v>
      </c>
      <c r="G135" s="485">
        <f t="shared" si="52"/>
        <v>59593</v>
      </c>
      <c r="H135" s="486">
        <f t="shared" si="49"/>
        <v>16508.114832818595</v>
      </c>
      <c r="I135" s="542">
        <f t="shared" si="50"/>
        <v>16508.114832818595</v>
      </c>
      <c r="J135" s="478">
        <f t="shared" si="53"/>
        <v>0</v>
      </c>
      <c r="K135" s="478"/>
      <c r="L135" s="487"/>
      <c r="M135" s="478">
        <f t="shared" si="55"/>
        <v>0</v>
      </c>
      <c r="N135" s="487"/>
      <c r="O135" s="478">
        <f t="shared" si="56"/>
        <v>0</v>
      </c>
      <c r="P135" s="478">
        <f t="shared" si="54"/>
        <v>0</v>
      </c>
    </row>
    <row r="136" spans="2:16">
      <c r="B136" s="160" t="str">
        <f t="shared" si="29"/>
        <v/>
      </c>
      <c r="C136" s="472">
        <f>IF(D93="","-",+C135+1)</f>
        <v>2043</v>
      </c>
      <c r="D136" s="347">
        <f>IF(F135+SUM(E$99:E135)=D$92,F135,D$92-SUM(E$99:E135))</f>
        <v>54622</v>
      </c>
      <c r="E136" s="486">
        <f>IF(+J96&lt;F135,J96,D136)</f>
        <v>9942</v>
      </c>
      <c r="F136" s="485">
        <f t="shared" si="51"/>
        <v>44680</v>
      </c>
      <c r="G136" s="485">
        <f t="shared" si="52"/>
        <v>49651</v>
      </c>
      <c r="H136" s="486">
        <f t="shared" si="49"/>
        <v>15412.678897928887</v>
      </c>
      <c r="I136" s="542">
        <f t="shared" si="50"/>
        <v>15412.678897928887</v>
      </c>
      <c r="J136" s="478">
        <f t="shared" si="53"/>
        <v>0</v>
      </c>
      <c r="K136" s="478"/>
      <c r="L136" s="487"/>
      <c r="M136" s="478">
        <f t="shared" si="55"/>
        <v>0</v>
      </c>
      <c r="N136" s="487"/>
      <c r="O136" s="478">
        <f t="shared" si="56"/>
        <v>0</v>
      </c>
      <c r="P136" s="478">
        <f t="shared" si="54"/>
        <v>0</v>
      </c>
    </row>
    <row r="137" spans="2:16">
      <c r="B137" s="160" t="str">
        <f t="shared" si="29"/>
        <v/>
      </c>
      <c r="C137" s="472">
        <f>IF(D93="","-",+C136+1)</f>
        <v>2044</v>
      </c>
      <c r="D137" s="347">
        <f>IF(F136+SUM(E$99:E136)=D$92,F136,D$92-SUM(E$99:E136))</f>
        <v>44680</v>
      </c>
      <c r="E137" s="486">
        <f>IF(+J96&lt;F136,J96,D137)</f>
        <v>9942</v>
      </c>
      <c r="F137" s="485">
        <f t="shared" si="51"/>
        <v>34738</v>
      </c>
      <c r="G137" s="485">
        <f t="shared" si="52"/>
        <v>39709</v>
      </c>
      <c r="H137" s="486">
        <f t="shared" si="49"/>
        <v>14317.242963039178</v>
      </c>
      <c r="I137" s="542">
        <f t="shared" si="50"/>
        <v>14317.242963039178</v>
      </c>
      <c r="J137" s="478">
        <f t="shared" si="53"/>
        <v>0</v>
      </c>
      <c r="K137" s="478"/>
      <c r="L137" s="487"/>
      <c r="M137" s="478">
        <f t="shared" si="55"/>
        <v>0</v>
      </c>
      <c r="N137" s="487"/>
      <c r="O137" s="478">
        <f t="shared" si="56"/>
        <v>0</v>
      </c>
      <c r="P137" s="478">
        <f t="shared" si="54"/>
        <v>0</v>
      </c>
    </row>
    <row r="138" spans="2:16">
      <c r="B138" s="160" t="str">
        <f t="shared" si="29"/>
        <v/>
      </c>
      <c r="C138" s="472">
        <f>IF(D93="","-",+C137+1)</f>
        <v>2045</v>
      </c>
      <c r="D138" s="347">
        <f>IF(F137+SUM(E$99:E137)=D$92,F137,D$92-SUM(E$99:E137))</f>
        <v>34738</v>
      </c>
      <c r="E138" s="486">
        <f>IF(+J96&lt;F137,J96,D138)</f>
        <v>9942</v>
      </c>
      <c r="F138" s="485">
        <f t="shared" si="51"/>
        <v>24796</v>
      </c>
      <c r="G138" s="485">
        <f t="shared" si="52"/>
        <v>29767</v>
      </c>
      <c r="H138" s="486">
        <f t="shared" si="49"/>
        <v>13221.807028149467</v>
      </c>
      <c r="I138" s="542">
        <f t="shared" si="50"/>
        <v>13221.807028149467</v>
      </c>
      <c r="J138" s="478">
        <f t="shared" si="53"/>
        <v>0</v>
      </c>
      <c r="K138" s="478"/>
      <c r="L138" s="487"/>
      <c r="M138" s="478">
        <f t="shared" si="55"/>
        <v>0</v>
      </c>
      <c r="N138" s="487"/>
      <c r="O138" s="478">
        <f t="shared" si="56"/>
        <v>0</v>
      </c>
      <c r="P138" s="478">
        <f t="shared" si="54"/>
        <v>0</v>
      </c>
    </row>
    <row r="139" spans="2:16">
      <c r="B139" s="160" t="str">
        <f t="shared" si="29"/>
        <v/>
      </c>
      <c r="C139" s="472">
        <f>IF(D93="","-",+C138+1)</f>
        <v>2046</v>
      </c>
      <c r="D139" s="347">
        <f>IF(F138+SUM(E$99:E138)=D$92,F138,D$92-SUM(E$99:E138))</f>
        <v>24796</v>
      </c>
      <c r="E139" s="486">
        <f>IF(+J96&lt;F138,J96,D139)</f>
        <v>9942</v>
      </c>
      <c r="F139" s="485">
        <f t="shared" si="51"/>
        <v>14854</v>
      </c>
      <c r="G139" s="485">
        <f t="shared" si="52"/>
        <v>19825</v>
      </c>
      <c r="H139" s="486">
        <f t="shared" si="49"/>
        <v>12126.371093259757</v>
      </c>
      <c r="I139" s="542">
        <f t="shared" si="50"/>
        <v>12126.371093259757</v>
      </c>
      <c r="J139" s="478">
        <f t="shared" si="53"/>
        <v>0</v>
      </c>
      <c r="K139" s="478"/>
      <c r="L139" s="487"/>
      <c r="M139" s="478">
        <f t="shared" si="55"/>
        <v>0</v>
      </c>
      <c r="N139" s="487"/>
      <c r="O139" s="478">
        <f t="shared" si="56"/>
        <v>0</v>
      </c>
      <c r="P139" s="478">
        <f t="shared" si="54"/>
        <v>0</v>
      </c>
    </row>
    <row r="140" spans="2:16">
      <c r="B140" s="160" t="str">
        <f t="shared" si="29"/>
        <v/>
      </c>
      <c r="C140" s="472">
        <f>IF(D93="","-",+C139+1)</f>
        <v>2047</v>
      </c>
      <c r="D140" s="347">
        <f>IF(F139+SUM(E$99:E139)=D$92,F139,D$92-SUM(E$99:E139))</f>
        <v>14854</v>
      </c>
      <c r="E140" s="486">
        <f>IF(+J96&lt;F139,J96,D140)</f>
        <v>9942</v>
      </c>
      <c r="F140" s="485">
        <f t="shared" si="51"/>
        <v>4912</v>
      </c>
      <c r="G140" s="485">
        <f t="shared" si="52"/>
        <v>9883</v>
      </c>
      <c r="H140" s="486">
        <f t="shared" si="49"/>
        <v>11030.935158370046</v>
      </c>
      <c r="I140" s="542">
        <f t="shared" si="50"/>
        <v>11030.935158370046</v>
      </c>
      <c r="J140" s="478">
        <f t="shared" si="53"/>
        <v>0</v>
      </c>
      <c r="K140" s="478"/>
      <c r="L140" s="487"/>
      <c r="M140" s="478">
        <f t="shared" si="55"/>
        <v>0</v>
      </c>
      <c r="N140" s="487"/>
      <c r="O140" s="478">
        <f t="shared" si="56"/>
        <v>0</v>
      </c>
      <c r="P140" s="478">
        <f t="shared" si="54"/>
        <v>0</v>
      </c>
    </row>
    <row r="141" spans="2:16">
      <c r="B141" s="160" t="str">
        <f t="shared" si="29"/>
        <v/>
      </c>
      <c r="C141" s="472">
        <f>IF(D93="","-",+C140+1)</f>
        <v>2048</v>
      </c>
      <c r="D141" s="347">
        <f>IF(F140+SUM(E$99:E140)=D$92,F140,D$92-SUM(E$99:E140))</f>
        <v>4912</v>
      </c>
      <c r="E141" s="486">
        <f>IF(+J96&lt;F140,J96,D141)</f>
        <v>4912</v>
      </c>
      <c r="F141" s="485">
        <f t="shared" si="51"/>
        <v>0</v>
      </c>
      <c r="G141" s="485">
        <f t="shared" si="52"/>
        <v>2456</v>
      </c>
      <c r="H141" s="486">
        <f t="shared" si="49"/>
        <v>5182.608595462596</v>
      </c>
      <c r="I141" s="542">
        <f t="shared" si="50"/>
        <v>5182.608595462596</v>
      </c>
      <c r="J141" s="478">
        <f t="shared" si="53"/>
        <v>0</v>
      </c>
      <c r="K141" s="478"/>
      <c r="L141" s="487"/>
      <c r="M141" s="478">
        <f t="shared" si="55"/>
        <v>0</v>
      </c>
      <c r="N141" s="487"/>
      <c r="O141" s="478">
        <f t="shared" si="56"/>
        <v>0</v>
      </c>
      <c r="P141" s="478">
        <f t="shared" si="54"/>
        <v>0</v>
      </c>
    </row>
    <row r="142" spans="2:16">
      <c r="B142" s="160" t="str">
        <f t="shared" si="29"/>
        <v/>
      </c>
      <c r="C142" s="472">
        <f>IF(D93="","-",+C141+1)</f>
        <v>2049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1"/>
        <v>0</v>
      </c>
      <c r="G142" s="485">
        <f t="shared" si="52"/>
        <v>0</v>
      </c>
      <c r="H142" s="486">
        <f t="shared" si="49"/>
        <v>0</v>
      </c>
      <c r="I142" s="542">
        <f t="shared" si="50"/>
        <v>0</v>
      </c>
      <c r="J142" s="478">
        <f t="shared" si="53"/>
        <v>0</v>
      </c>
      <c r="K142" s="478"/>
      <c r="L142" s="487"/>
      <c r="M142" s="478">
        <f t="shared" si="55"/>
        <v>0</v>
      </c>
      <c r="N142" s="487"/>
      <c r="O142" s="478">
        <f t="shared" si="56"/>
        <v>0</v>
      </c>
      <c r="P142" s="478">
        <f t="shared" si="54"/>
        <v>0</v>
      </c>
    </row>
    <row r="143" spans="2:16">
      <c r="B143" s="160" t="str">
        <f t="shared" si="29"/>
        <v/>
      </c>
      <c r="C143" s="472">
        <f>IF(D93="","-",+C142+1)</f>
        <v>2050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1"/>
        <v>0</v>
      </c>
      <c r="G143" s="485">
        <f t="shared" si="52"/>
        <v>0</v>
      </c>
      <c r="H143" s="486">
        <f t="shared" si="49"/>
        <v>0</v>
      </c>
      <c r="I143" s="542">
        <f t="shared" si="50"/>
        <v>0</v>
      </c>
      <c r="J143" s="478">
        <f t="shared" si="53"/>
        <v>0</v>
      </c>
      <c r="K143" s="478"/>
      <c r="L143" s="487"/>
      <c r="M143" s="478">
        <f t="shared" si="55"/>
        <v>0</v>
      </c>
      <c r="N143" s="487"/>
      <c r="O143" s="478">
        <f t="shared" si="56"/>
        <v>0</v>
      </c>
      <c r="P143" s="478">
        <f t="shared" si="54"/>
        <v>0</v>
      </c>
    </row>
    <row r="144" spans="2:16">
      <c r="B144" s="160" t="str">
        <f t="shared" si="29"/>
        <v/>
      </c>
      <c r="C144" s="472">
        <f>IF(D93="","-",+C143+1)</f>
        <v>2051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1"/>
        <v>0</v>
      </c>
      <c r="G144" s="485">
        <f t="shared" si="52"/>
        <v>0</v>
      </c>
      <c r="H144" s="486">
        <f t="shared" si="49"/>
        <v>0</v>
      </c>
      <c r="I144" s="542">
        <f t="shared" si="50"/>
        <v>0</v>
      </c>
      <c r="J144" s="478">
        <f t="shared" si="53"/>
        <v>0</v>
      </c>
      <c r="K144" s="478"/>
      <c r="L144" s="487"/>
      <c r="M144" s="478">
        <f t="shared" si="55"/>
        <v>0</v>
      </c>
      <c r="N144" s="487"/>
      <c r="O144" s="478">
        <f t="shared" si="56"/>
        <v>0</v>
      </c>
      <c r="P144" s="478">
        <f t="shared" si="54"/>
        <v>0</v>
      </c>
    </row>
    <row r="145" spans="2:16">
      <c r="B145" s="160" t="str">
        <f t="shared" si="29"/>
        <v/>
      </c>
      <c r="C145" s="472">
        <f>IF(D93="","-",+C144+1)</f>
        <v>2052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1"/>
        <v>0</v>
      </c>
      <c r="G145" s="485">
        <f t="shared" si="52"/>
        <v>0</v>
      </c>
      <c r="H145" s="486">
        <f t="shared" si="49"/>
        <v>0</v>
      </c>
      <c r="I145" s="542">
        <f t="shared" si="50"/>
        <v>0</v>
      </c>
      <c r="J145" s="478">
        <f t="shared" si="53"/>
        <v>0</v>
      </c>
      <c r="K145" s="478"/>
      <c r="L145" s="487"/>
      <c r="M145" s="478">
        <f t="shared" si="55"/>
        <v>0</v>
      </c>
      <c r="N145" s="487"/>
      <c r="O145" s="478">
        <f t="shared" si="56"/>
        <v>0</v>
      </c>
      <c r="P145" s="478">
        <f t="shared" si="54"/>
        <v>0</v>
      </c>
    </row>
    <row r="146" spans="2:16">
      <c r="B146" s="160" t="str">
        <f t="shared" si="29"/>
        <v/>
      </c>
      <c r="C146" s="472">
        <f>IF(D93="","-",+C145+1)</f>
        <v>2053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1"/>
        <v>0</v>
      </c>
      <c r="G146" s="485">
        <f t="shared" si="52"/>
        <v>0</v>
      </c>
      <c r="H146" s="486">
        <f t="shared" si="49"/>
        <v>0</v>
      </c>
      <c r="I146" s="542">
        <f t="shared" si="50"/>
        <v>0</v>
      </c>
      <c r="J146" s="478">
        <f t="shared" si="53"/>
        <v>0</v>
      </c>
      <c r="K146" s="478"/>
      <c r="L146" s="487"/>
      <c r="M146" s="478">
        <f t="shared" si="55"/>
        <v>0</v>
      </c>
      <c r="N146" s="487"/>
      <c r="O146" s="478">
        <f t="shared" si="56"/>
        <v>0</v>
      </c>
      <c r="P146" s="478">
        <f t="shared" si="54"/>
        <v>0</v>
      </c>
    </row>
    <row r="147" spans="2:16">
      <c r="B147" s="160" t="str">
        <f t="shared" si="29"/>
        <v/>
      </c>
      <c r="C147" s="472">
        <f>IF(D93="","-",+C146+1)</f>
        <v>2054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1"/>
        <v>0</v>
      </c>
      <c r="G147" s="485">
        <f t="shared" si="52"/>
        <v>0</v>
      </c>
      <c r="H147" s="486">
        <f t="shared" si="49"/>
        <v>0</v>
      </c>
      <c r="I147" s="542">
        <f t="shared" si="50"/>
        <v>0</v>
      </c>
      <c r="J147" s="478">
        <f t="shared" si="53"/>
        <v>0</v>
      </c>
      <c r="K147" s="478"/>
      <c r="L147" s="487"/>
      <c r="M147" s="478">
        <f t="shared" si="55"/>
        <v>0</v>
      </c>
      <c r="N147" s="487"/>
      <c r="O147" s="478">
        <f t="shared" si="56"/>
        <v>0</v>
      </c>
      <c r="P147" s="478">
        <f t="shared" si="54"/>
        <v>0</v>
      </c>
    </row>
    <row r="148" spans="2:16">
      <c r="B148" s="160" t="str">
        <f t="shared" si="29"/>
        <v/>
      </c>
      <c r="C148" s="472">
        <f>IF(D93="","-",+C147+1)</f>
        <v>2055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1"/>
        <v>0</v>
      </c>
      <c r="G148" s="485">
        <f t="shared" si="52"/>
        <v>0</v>
      </c>
      <c r="H148" s="486">
        <f t="shared" si="49"/>
        <v>0</v>
      </c>
      <c r="I148" s="542">
        <f t="shared" si="50"/>
        <v>0</v>
      </c>
      <c r="J148" s="478">
        <f t="shared" si="53"/>
        <v>0</v>
      </c>
      <c r="K148" s="478"/>
      <c r="L148" s="487"/>
      <c r="M148" s="478">
        <f t="shared" si="55"/>
        <v>0</v>
      </c>
      <c r="N148" s="487"/>
      <c r="O148" s="478">
        <f t="shared" si="56"/>
        <v>0</v>
      </c>
      <c r="P148" s="478">
        <f t="shared" si="54"/>
        <v>0</v>
      </c>
    </row>
    <row r="149" spans="2:16">
      <c r="B149" s="160" t="str">
        <f t="shared" si="29"/>
        <v/>
      </c>
      <c r="C149" s="472">
        <f>IF(D93="","-",+C148+1)</f>
        <v>2056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1"/>
        <v>0</v>
      </c>
      <c r="G149" s="485">
        <f t="shared" si="52"/>
        <v>0</v>
      </c>
      <c r="H149" s="486">
        <f t="shared" si="49"/>
        <v>0</v>
      </c>
      <c r="I149" s="542">
        <f t="shared" si="50"/>
        <v>0</v>
      </c>
      <c r="J149" s="478">
        <f t="shared" si="53"/>
        <v>0</v>
      </c>
      <c r="K149" s="478"/>
      <c r="L149" s="487"/>
      <c r="M149" s="478">
        <f t="shared" si="55"/>
        <v>0</v>
      </c>
      <c r="N149" s="487"/>
      <c r="O149" s="478">
        <f t="shared" si="56"/>
        <v>0</v>
      </c>
      <c r="P149" s="478">
        <f t="shared" si="54"/>
        <v>0</v>
      </c>
    </row>
    <row r="150" spans="2:16">
      <c r="B150" s="160" t="str">
        <f t="shared" si="29"/>
        <v/>
      </c>
      <c r="C150" s="472">
        <f>IF(D93="","-",+C149+1)</f>
        <v>2057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1"/>
        <v>0</v>
      </c>
      <c r="G150" s="485">
        <f t="shared" si="52"/>
        <v>0</v>
      </c>
      <c r="H150" s="486">
        <f t="shared" si="49"/>
        <v>0</v>
      </c>
      <c r="I150" s="542">
        <f t="shared" si="50"/>
        <v>0</v>
      </c>
      <c r="J150" s="478">
        <f t="shared" si="53"/>
        <v>0</v>
      </c>
      <c r="K150" s="478"/>
      <c r="L150" s="487"/>
      <c r="M150" s="478">
        <f t="shared" si="55"/>
        <v>0</v>
      </c>
      <c r="N150" s="487"/>
      <c r="O150" s="478">
        <f t="shared" si="56"/>
        <v>0</v>
      </c>
      <c r="P150" s="478">
        <f t="shared" si="54"/>
        <v>0</v>
      </c>
    </row>
    <row r="151" spans="2:16">
      <c r="B151" s="160" t="str">
        <f t="shared" si="29"/>
        <v/>
      </c>
      <c r="C151" s="472">
        <f>IF(D93="","-",+C150+1)</f>
        <v>2058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1"/>
        <v>0</v>
      </c>
      <c r="G151" s="485">
        <f t="shared" si="52"/>
        <v>0</v>
      </c>
      <c r="H151" s="486">
        <f t="shared" si="49"/>
        <v>0</v>
      </c>
      <c r="I151" s="542">
        <f t="shared" si="50"/>
        <v>0</v>
      </c>
      <c r="J151" s="478">
        <f t="shared" si="53"/>
        <v>0</v>
      </c>
      <c r="K151" s="478"/>
      <c r="L151" s="487"/>
      <c r="M151" s="478">
        <f t="shared" si="55"/>
        <v>0</v>
      </c>
      <c r="N151" s="487"/>
      <c r="O151" s="478">
        <f t="shared" si="56"/>
        <v>0</v>
      </c>
      <c r="P151" s="478">
        <f t="shared" si="54"/>
        <v>0</v>
      </c>
    </row>
    <row r="152" spans="2:16">
      <c r="B152" s="160" t="str">
        <f t="shared" si="29"/>
        <v/>
      </c>
      <c r="C152" s="472">
        <f>IF(D93="","-",+C151+1)</f>
        <v>2059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1"/>
        <v>0</v>
      </c>
      <c r="G152" s="485">
        <f t="shared" si="52"/>
        <v>0</v>
      </c>
      <c r="H152" s="486">
        <f t="shared" si="49"/>
        <v>0</v>
      </c>
      <c r="I152" s="542">
        <f t="shared" si="50"/>
        <v>0</v>
      </c>
      <c r="J152" s="478">
        <f t="shared" si="53"/>
        <v>0</v>
      </c>
      <c r="K152" s="478"/>
      <c r="L152" s="487"/>
      <c r="M152" s="478">
        <f t="shared" si="55"/>
        <v>0</v>
      </c>
      <c r="N152" s="487"/>
      <c r="O152" s="478">
        <f t="shared" si="56"/>
        <v>0</v>
      </c>
      <c r="P152" s="478">
        <f t="shared" si="54"/>
        <v>0</v>
      </c>
    </row>
    <row r="153" spans="2:16">
      <c r="B153" s="160" t="str">
        <f t="shared" si="29"/>
        <v/>
      </c>
      <c r="C153" s="472">
        <f>IF(D93="","-",+C152+1)</f>
        <v>2060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1"/>
        <v>0</v>
      </c>
      <c r="G153" s="485">
        <f t="shared" si="52"/>
        <v>0</v>
      </c>
      <c r="H153" s="486">
        <f t="shared" si="49"/>
        <v>0</v>
      </c>
      <c r="I153" s="542">
        <f t="shared" si="50"/>
        <v>0</v>
      </c>
      <c r="J153" s="478">
        <f t="shared" si="53"/>
        <v>0</v>
      </c>
      <c r="K153" s="478"/>
      <c r="L153" s="487"/>
      <c r="M153" s="478">
        <f t="shared" si="55"/>
        <v>0</v>
      </c>
      <c r="N153" s="487"/>
      <c r="O153" s="478">
        <f t="shared" si="56"/>
        <v>0</v>
      </c>
      <c r="P153" s="478">
        <f t="shared" si="54"/>
        <v>0</v>
      </c>
    </row>
    <row r="154" spans="2:16" ht="13.5" thickBot="1">
      <c r="B154" s="160" t="str">
        <f t="shared" si="29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1"/>
        <v>0</v>
      </c>
      <c r="G154" s="490">
        <f t="shared" si="52"/>
        <v>0</v>
      </c>
      <c r="H154" s="492">
        <f t="shared" ref="H154" si="57">+J$94*G154+E154</f>
        <v>0</v>
      </c>
      <c r="I154" s="545">
        <f t="shared" ref="I154" si="58">+J$95*G154+E154</f>
        <v>0</v>
      </c>
      <c r="J154" s="495">
        <f t="shared" si="53"/>
        <v>0</v>
      </c>
      <c r="K154" s="478"/>
      <c r="L154" s="494"/>
      <c r="M154" s="495">
        <f t="shared" si="55"/>
        <v>0</v>
      </c>
      <c r="N154" s="494"/>
      <c r="O154" s="495">
        <f t="shared" si="56"/>
        <v>0</v>
      </c>
      <c r="P154" s="495">
        <f t="shared" si="54"/>
        <v>0</v>
      </c>
    </row>
    <row r="155" spans="2:16">
      <c r="C155" s="347" t="s">
        <v>77</v>
      </c>
      <c r="D155" s="348"/>
      <c r="E155" s="348">
        <f>SUM(E99:E154)</f>
        <v>387742</v>
      </c>
      <c r="F155" s="348"/>
      <c r="G155" s="348"/>
      <c r="H155" s="348">
        <f>SUM(H99:H154)</f>
        <v>1435858.2355789023</v>
      </c>
      <c r="I155" s="348">
        <f>SUM(I99:I154)</f>
        <v>1435858.2355789023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P162"/>
  <sheetViews>
    <sheetView view="pageBreakPreview" zoomScale="75" zoomScaleNormal="100" workbookViewId="0">
      <selection activeCell="H27" sqref="H2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6 of 31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281</v>
      </c>
      <c r="L5" s="423"/>
      <c r="M5" s="424"/>
      <c r="N5" s="425">
        <f>VLOOKUP(I10,C17:I72,5)</f>
        <v>150148.14020254629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282</v>
      </c>
      <c r="L6" s="429"/>
      <c r="M6" s="243"/>
      <c r="N6" s="430">
        <f>VLOOKUP(I10,C17:I72,6)</f>
        <v>150148.14020254629</v>
      </c>
      <c r="O6" s="233"/>
      <c r="P6" s="233"/>
    </row>
    <row r="7" spans="1:16" ht="13.5" thickBot="1">
      <c r="C7" s="431" t="s">
        <v>46</v>
      </c>
      <c r="D7" s="564" t="s">
        <v>84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85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1520502</v>
      </c>
      <c r="E10" s="325" t="s">
        <v>51</v>
      </c>
      <c r="F10" s="445"/>
      <c r="G10" s="448"/>
      <c r="H10" s="448"/>
      <c r="I10" s="449">
        <f>+'PSO.WS.F.BPU.ATRR.Projected'!L19</f>
        <v>2022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0.10781124580725182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42</v>
      </c>
      <c r="E13" s="450" t="s">
        <v>59</v>
      </c>
      <c r="F13" s="448"/>
      <c r="G13" s="195"/>
      <c r="H13" s="195"/>
      <c r="I13" s="454">
        <f>IF(G5="",I12,'PSO.WS.F.BPU.ATRR.Projected'!$F$80)</f>
        <v>0.10781124580725182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36202.428571428572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283</v>
      </c>
      <c r="H15" s="459" t="s">
        <v>284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2008</v>
      </c>
      <c r="D17" s="473">
        <v>1520473</v>
      </c>
      <c r="E17" s="474">
        <v>19125</v>
      </c>
      <c r="F17" s="473">
        <v>1501348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2009</v>
      </c>
      <c r="D18" s="479">
        <v>1501348</v>
      </c>
      <c r="E18" s="480">
        <v>28688</v>
      </c>
      <c r="F18" s="479">
        <v>1472660</v>
      </c>
      <c r="G18" s="480">
        <v>254309</v>
      </c>
      <c r="H18" s="481">
        <v>254309</v>
      </c>
      <c r="I18" s="475">
        <f t="shared" si="0"/>
        <v>0</v>
      </c>
      <c r="J18" s="475"/>
      <c r="K18" s="476">
        <v>254309</v>
      </c>
      <c r="L18" s="478">
        <f t="shared" si="1"/>
        <v>0</v>
      </c>
      <c r="M18" s="476">
        <v>254309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2010</v>
      </c>
      <c r="D19" s="479">
        <v>1472689</v>
      </c>
      <c r="E19" s="480">
        <v>27151.821428571428</v>
      </c>
      <c r="F19" s="479">
        <v>1445537.1785714286</v>
      </c>
      <c r="G19" s="480">
        <v>235737.79751815079</v>
      </c>
      <c r="H19" s="481">
        <v>235737.79751815079</v>
      </c>
      <c r="I19" s="475">
        <f t="shared" si="0"/>
        <v>0</v>
      </c>
      <c r="J19" s="475"/>
      <c r="K19" s="540">
        <f t="shared" ref="K19:K24" si="4">G19</f>
        <v>235737.79751815079</v>
      </c>
      <c r="L19" s="541">
        <f t="shared" si="1"/>
        <v>0</v>
      </c>
      <c r="M19" s="540">
        <f t="shared" ref="M19:M24" si="5">H19</f>
        <v>235737.79751815079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2011</v>
      </c>
      <c r="D20" s="479">
        <v>1445537.1785714286</v>
      </c>
      <c r="E20" s="480">
        <v>29813.764705882353</v>
      </c>
      <c r="F20" s="479">
        <v>1415723.4138655462</v>
      </c>
      <c r="G20" s="480">
        <v>251435.83921239444</v>
      </c>
      <c r="H20" s="481">
        <v>251435.83921239444</v>
      </c>
      <c r="I20" s="475">
        <f t="shared" si="0"/>
        <v>0</v>
      </c>
      <c r="J20" s="475"/>
      <c r="K20" s="476">
        <f t="shared" si="4"/>
        <v>251435.83921239444</v>
      </c>
      <c r="L20" s="550">
        <f t="shared" si="1"/>
        <v>0</v>
      </c>
      <c r="M20" s="476">
        <f t="shared" si="5"/>
        <v>251435.83921239444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IF(D11="","-",+C20+1)</f>
        <v>2012</v>
      </c>
      <c r="D21" s="479">
        <v>1415723.4138655462</v>
      </c>
      <c r="E21" s="480">
        <v>29240.423076923078</v>
      </c>
      <c r="F21" s="479">
        <v>1386482.9907886232</v>
      </c>
      <c r="G21" s="480">
        <v>222248.1918516063</v>
      </c>
      <c r="H21" s="481">
        <v>222248.1918516063</v>
      </c>
      <c r="I21" s="475">
        <f t="shared" si="0"/>
        <v>0</v>
      </c>
      <c r="J21" s="475"/>
      <c r="K21" s="476">
        <f t="shared" si="4"/>
        <v>222248.1918516063</v>
      </c>
      <c r="L21" s="550">
        <f t="shared" si="1"/>
        <v>0</v>
      </c>
      <c r="M21" s="476">
        <f t="shared" si="5"/>
        <v>222248.1918516063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6"/>
        <v/>
      </c>
      <c r="C22" s="472">
        <f>IF(D11="","-",+C21+1)</f>
        <v>2013</v>
      </c>
      <c r="D22" s="479">
        <v>1386482.9907886232</v>
      </c>
      <c r="E22" s="480">
        <v>29240.423076923078</v>
      </c>
      <c r="F22" s="479">
        <v>1357242.5677117002</v>
      </c>
      <c r="G22" s="480">
        <v>223063.83719618269</v>
      </c>
      <c r="H22" s="481">
        <v>223063.83719618269</v>
      </c>
      <c r="I22" s="475">
        <v>0</v>
      </c>
      <c r="J22" s="475"/>
      <c r="K22" s="476">
        <f t="shared" si="4"/>
        <v>223063.83719618269</v>
      </c>
      <c r="L22" s="550">
        <f t="shared" ref="L22:L27" si="7">IF(K22&lt;&gt;0,+G22-K22,0)</f>
        <v>0</v>
      </c>
      <c r="M22" s="476">
        <f t="shared" si="5"/>
        <v>223063.83719618269</v>
      </c>
      <c r="N22" s="478">
        <f t="shared" ref="N22:N27" si="8">IF(M22&lt;&gt;0,+H22-M22,0)</f>
        <v>0</v>
      </c>
      <c r="O22" s="478">
        <f t="shared" ref="O22:O27" si="9">+N22-L22</f>
        <v>0</v>
      </c>
      <c r="P22" s="243"/>
    </row>
    <row r="23" spans="2:16">
      <c r="B23" s="160" t="str">
        <f t="shared" si="6"/>
        <v/>
      </c>
      <c r="C23" s="472">
        <f>IF(D11="","-",+C22+1)</f>
        <v>2014</v>
      </c>
      <c r="D23" s="479">
        <v>1357242.5677117002</v>
      </c>
      <c r="E23" s="480">
        <v>29240.423076923078</v>
      </c>
      <c r="F23" s="479">
        <v>1328002.1446347772</v>
      </c>
      <c r="G23" s="480">
        <v>212051.56179808528</v>
      </c>
      <c r="H23" s="481">
        <v>212051.56179808528</v>
      </c>
      <c r="I23" s="475">
        <v>0</v>
      </c>
      <c r="J23" s="475"/>
      <c r="K23" s="476">
        <f t="shared" si="4"/>
        <v>212051.56179808528</v>
      </c>
      <c r="L23" s="550">
        <f t="shared" si="7"/>
        <v>0</v>
      </c>
      <c r="M23" s="476">
        <f t="shared" si="5"/>
        <v>212051.56179808528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2015</v>
      </c>
      <c r="D24" s="479">
        <v>1328002.1446347772</v>
      </c>
      <c r="E24" s="480">
        <v>29240.423076923078</v>
      </c>
      <c r="F24" s="479">
        <v>1298761.7215578542</v>
      </c>
      <c r="G24" s="480">
        <v>208302.85337289202</v>
      </c>
      <c r="H24" s="481">
        <v>208302.85337289202</v>
      </c>
      <c r="I24" s="475">
        <v>0</v>
      </c>
      <c r="J24" s="475"/>
      <c r="K24" s="476">
        <f t="shared" si="4"/>
        <v>208302.85337289202</v>
      </c>
      <c r="L24" s="550">
        <f t="shared" si="7"/>
        <v>0</v>
      </c>
      <c r="M24" s="476">
        <f t="shared" si="5"/>
        <v>208302.85337289202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2016</v>
      </c>
      <c r="D25" s="479">
        <v>1298761.7215578542</v>
      </c>
      <c r="E25" s="480">
        <v>29240.423076923078</v>
      </c>
      <c r="F25" s="479">
        <v>1269521.2984809312</v>
      </c>
      <c r="G25" s="480">
        <v>195750.37197477801</v>
      </c>
      <c r="H25" s="481">
        <v>195750.37197477801</v>
      </c>
      <c r="I25" s="475">
        <f t="shared" si="0"/>
        <v>0</v>
      </c>
      <c r="J25" s="475"/>
      <c r="K25" s="476">
        <f t="shared" ref="K25:K30" si="10">G25</f>
        <v>195750.37197477801</v>
      </c>
      <c r="L25" s="550">
        <f t="shared" si="7"/>
        <v>0</v>
      </c>
      <c r="M25" s="476">
        <f t="shared" ref="M25:M30" si="11">H25</f>
        <v>195750.37197477801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2017</v>
      </c>
      <c r="D26" s="479">
        <v>1269521.2984809312</v>
      </c>
      <c r="E26" s="480">
        <v>33054.391304347824</v>
      </c>
      <c r="F26" s="479">
        <v>1236466.9071765833</v>
      </c>
      <c r="G26" s="480">
        <v>190407.97943741584</v>
      </c>
      <c r="H26" s="481">
        <v>190407.97943741584</v>
      </c>
      <c r="I26" s="475">
        <f t="shared" si="0"/>
        <v>0</v>
      </c>
      <c r="J26" s="475"/>
      <c r="K26" s="476">
        <f t="shared" si="10"/>
        <v>190407.97943741584</v>
      </c>
      <c r="L26" s="550">
        <f t="shared" si="7"/>
        <v>0</v>
      </c>
      <c r="M26" s="476">
        <f t="shared" si="11"/>
        <v>190407.97943741584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2018</v>
      </c>
      <c r="D27" s="479">
        <v>1236466.9071765833</v>
      </c>
      <c r="E27" s="480">
        <v>33788.933333333334</v>
      </c>
      <c r="F27" s="479">
        <v>1202677.97384325</v>
      </c>
      <c r="G27" s="480">
        <v>179843.63692519162</v>
      </c>
      <c r="H27" s="481">
        <v>179843.63692519162</v>
      </c>
      <c r="I27" s="475">
        <f t="shared" si="0"/>
        <v>0</v>
      </c>
      <c r="J27" s="475"/>
      <c r="K27" s="476">
        <f t="shared" si="10"/>
        <v>179843.63692519162</v>
      </c>
      <c r="L27" s="550">
        <f t="shared" si="7"/>
        <v>0</v>
      </c>
      <c r="M27" s="476">
        <f t="shared" si="11"/>
        <v>179843.63692519162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2019</v>
      </c>
      <c r="D28" s="479">
        <v>1202677.97384325</v>
      </c>
      <c r="E28" s="480">
        <v>38012.550000000003</v>
      </c>
      <c r="F28" s="479">
        <v>1164665.4238432499</v>
      </c>
      <c r="G28" s="480">
        <v>170177.34445508715</v>
      </c>
      <c r="H28" s="481">
        <v>170177.34445508715</v>
      </c>
      <c r="I28" s="475">
        <f t="shared" si="0"/>
        <v>0</v>
      </c>
      <c r="J28" s="475"/>
      <c r="K28" s="476">
        <f t="shared" si="10"/>
        <v>170177.34445508715</v>
      </c>
      <c r="L28" s="550">
        <f t="shared" ref="L28" si="12">IF(K28&lt;&gt;0,+G28-K28,0)</f>
        <v>0</v>
      </c>
      <c r="M28" s="476">
        <f t="shared" si="11"/>
        <v>170177.34445508715</v>
      </c>
      <c r="N28" s="478">
        <f t="shared" ref="N28" si="13">IF(M28&lt;&gt;0,+H28-M28,0)</f>
        <v>0</v>
      </c>
      <c r="O28" s="478">
        <f t="shared" ref="O28" si="14">+N28-L28</f>
        <v>0</v>
      </c>
      <c r="P28" s="243"/>
    </row>
    <row r="29" spans="2:16">
      <c r="B29" s="160" t="str">
        <f t="shared" si="6"/>
        <v>IU</v>
      </c>
      <c r="C29" s="472">
        <f>IF(D11="","-",+C28+1)</f>
        <v>2020</v>
      </c>
      <c r="D29" s="479">
        <v>1168889.0405099166</v>
      </c>
      <c r="E29" s="480">
        <v>36202.428571428572</v>
      </c>
      <c r="F29" s="479">
        <v>1132686.611938488</v>
      </c>
      <c r="G29" s="480">
        <v>160493.01101346352</v>
      </c>
      <c r="H29" s="481">
        <v>160493.01101346352</v>
      </c>
      <c r="I29" s="475">
        <f t="shared" si="0"/>
        <v>0</v>
      </c>
      <c r="J29" s="475"/>
      <c r="K29" s="476">
        <f t="shared" si="10"/>
        <v>160493.01101346352</v>
      </c>
      <c r="L29" s="550">
        <f t="shared" ref="L29" si="15">IF(K29&lt;&gt;0,+G29-K29,0)</f>
        <v>0</v>
      </c>
      <c r="M29" s="476">
        <f t="shared" si="11"/>
        <v>160493.01101346352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2021</v>
      </c>
      <c r="D30" s="479">
        <v>1128462.995271821</v>
      </c>
      <c r="E30" s="480">
        <v>35360.511627906977</v>
      </c>
      <c r="F30" s="479">
        <v>1093102.4836439141</v>
      </c>
      <c r="G30" s="480">
        <v>153220.62710843381</v>
      </c>
      <c r="H30" s="481">
        <v>153220.62710843381</v>
      </c>
      <c r="I30" s="475">
        <f t="shared" si="0"/>
        <v>0</v>
      </c>
      <c r="J30" s="475"/>
      <c r="K30" s="476">
        <f t="shared" si="10"/>
        <v>153220.62710843381</v>
      </c>
      <c r="L30" s="550">
        <f t="shared" ref="L30" si="16">IF(K30&lt;&gt;0,+G30-K30,0)</f>
        <v>0</v>
      </c>
      <c r="M30" s="476">
        <f t="shared" si="11"/>
        <v>153220.62710843381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2022</v>
      </c>
      <c r="D31" s="479">
        <v>1093102.4836439141</v>
      </c>
      <c r="E31" s="480">
        <v>36202.428571428572</v>
      </c>
      <c r="F31" s="479">
        <v>1056900.0550724855</v>
      </c>
      <c r="G31" s="480">
        <v>150148.14020254629</v>
      </c>
      <c r="H31" s="481">
        <v>150148.14020254629</v>
      </c>
      <c r="I31" s="475">
        <f t="shared" si="0"/>
        <v>0</v>
      </c>
      <c r="J31" s="475"/>
      <c r="K31" s="476">
        <f t="shared" ref="K31" si="17">G31</f>
        <v>150148.14020254629</v>
      </c>
      <c r="L31" s="550">
        <f t="shared" ref="L31" si="18">IF(K31&lt;&gt;0,+G31-K31,0)</f>
        <v>0</v>
      </c>
      <c r="M31" s="476">
        <f t="shared" ref="M31" si="19">H31</f>
        <v>150148.14020254629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1056900.0550724855</v>
      </c>
      <c r="E32" s="484">
        <f>IF(+I14&lt;F31,I14,D32)</f>
        <v>36202.428571428572</v>
      </c>
      <c r="F32" s="485">
        <f t="shared" ref="F32:F48" si="20">+D32-E32</f>
        <v>1020697.6265010569</v>
      </c>
      <c r="G32" s="486">
        <f t="shared" ref="G32:G72" si="21">(D32+F32)/2*I$12+E32</f>
        <v>148196.62573977941</v>
      </c>
      <c r="H32" s="455">
        <f t="shared" ref="H32:H72" si="22">+(D32+F32)/2*I$13+E32</f>
        <v>148196.62573977941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1020697.6265010569</v>
      </c>
      <c r="E33" s="484">
        <f>IF(+I14&lt;F32,I14,D33)</f>
        <v>36202.428571428572</v>
      </c>
      <c r="F33" s="485">
        <f t="shared" si="20"/>
        <v>984495.19792962843</v>
      </c>
      <c r="G33" s="486">
        <f t="shared" si="21"/>
        <v>144293.59681424565</v>
      </c>
      <c r="H33" s="455">
        <f t="shared" si="22"/>
        <v>144293.59681424565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984495.19792962843</v>
      </c>
      <c r="E34" s="484">
        <f>IF(+I14&lt;F33,I14,D34)</f>
        <v>36202.428571428572</v>
      </c>
      <c r="F34" s="485">
        <f t="shared" si="20"/>
        <v>948292.7693581999</v>
      </c>
      <c r="G34" s="486">
        <f t="shared" si="21"/>
        <v>140390.5678887119</v>
      </c>
      <c r="H34" s="455">
        <f t="shared" si="22"/>
        <v>140390.5678887119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948292.7693581999</v>
      </c>
      <c r="E35" s="484">
        <f>IF(+I14&lt;F34,I14,D35)</f>
        <v>36202.428571428572</v>
      </c>
      <c r="F35" s="485">
        <f t="shared" si="20"/>
        <v>912090.34078677138</v>
      </c>
      <c r="G35" s="486">
        <f t="shared" si="21"/>
        <v>136487.53896317814</v>
      </c>
      <c r="H35" s="455">
        <f t="shared" si="22"/>
        <v>136487.53896317814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912090.34078677138</v>
      </c>
      <c r="E36" s="484">
        <f>IF(+I14&lt;F35,I14,D36)</f>
        <v>36202.428571428572</v>
      </c>
      <c r="F36" s="485">
        <f t="shared" si="20"/>
        <v>875887.91221534286</v>
      </c>
      <c r="G36" s="486">
        <f t="shared" si="21"/>
        <v>132584.51003764439</v>
      </c>
      <c r="H36" s="455">
        <f t="shared" si="22"/>
        <v>132584.51003764439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875887.91221534286</v>
      </c>
      <c r="E37" s="484">
        <f>IF(+I14&lt;F36,I14,D37)</f>
        <v>36202.428571428572</v>
      </c>
      <c r="F37" s="485">
        <f t="shared" si="20"/>
        <v>839685.48364391434</v>
      </c>
      <c r="G37" s="486">
        <f t="shared" si="21"/>
        <v>128681.48111211063</v>
      </c>
      <c r="H37" s="455">
        <f t="shared" si="22"/>
        <v>128681.48111211063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839685.48364391434</v>
      </c>
      <c r="E38" s="484">
        <f>IF(+I14&lt;F37,I14,D38)</f>
        <v>36202.428571428572</v>
      </c>
      <c r="F38" s="485">
        <f t="shared" si="20"/>
        <v>803483.05507248582</v>
      </c>
      <c r="G38" s="486">
        <f t="shared" si="21"/>
        <v>124778.45218657688</v>
      </c>
      <c r="H38" s="455">
        <f t="shared" si="22"/>
        <v>124778.45218657688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803483.05507248582</v>
      </c>
      <c r="E39" s="484">
        <f>IF(+I14&lt;F38,I14,D39)</f>
        <v>36202.428571428572</v>
      </c>
      <c r="F39" s="485">
        <f t="shared" si="20"/>
        <v>767280.6265010573</v>
      </c>
      <c r="G39" s="486">
        <f t="shared" si="21"/>
        <v>120875.42326104312</v>
      </c>
      <c r="H39" s="455">
        <f t="shared" si="22"/>
        <v>120875.42326104312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767280.6265010573</v>
      </c>
      <c r="E40" s="484">
        <f>IF(+I14&lt;F39,I14,D40)</f>
        <v>36202.428571428572</v>
      </c>
      <c r="F40" s="485">
        <f t="shared" si="20"/>
        <v>731078.19792962878</v>
      </c>
      <c r="G40" s="486">
        <f t="shared" si="21"/>
        <v>116972.39433550937</v>
      </c>
      <c r="H40" s="455">
        <f t="shared" si="22"/>
        <v>116972.39433550937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731078.19792962878</v>
      </c>
      <c r="E41" s="484">
        <f>IF(+I14&lt;F40,I14,D41)</f>
        <v>36202.428571428572</v>
      </c>
      <c r="F41" s="485">
        <f t="shared" si="20"/>
        <v>694875.76935820025</v>
      </c>
      <c r="G41" s="486">
        <f t="shared" si="21"/>
        <v>113069.36540997561</v>
      </c>
      <c r="H41" s="455">
        <f t="shared" si="22"/>
        <v>113069.36540997561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694875.76935820025</v>
      </c>
      <c r="E42" s="484">
        <f>IF(+I14&lt;F41,I14,D42)</f>
        <v>36202.428571428572</v>
      </c>
      <c r="F42" s="485">
        <f t="shared" si="20"/>
        <v>658673.34078677173</v>
      </c>
      <c r="G42" s="486">
        <f t="shared" si="21"/>
        <v>109166.33648444182</v>
      </c>
      <c r="H42" s="455">
        <f t="shared" si="22"/>
        <v>109166.33648444182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658673.34078677173</v>
      </c>
      <c r="E43" s="484">
        <f>IF(+I14&lt;F42,I14,D43)</f>
        <v>36202.428571428572</v>
      </c>
      <c r="F43" s="485">
        <f t="shared" si="20"/>
        <v>622470.91221534321</v>
      </c>
      <c r="G43" s="486">
        <f t="shared" si="21"/>
        <v>105263.3075589081</v>
      </c>
      <c r="H43" s="455">
        <f t="shared" si="22"/>
        <v>105263.3075589081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622470.91221534321</v>
      </c>
      <c r="E44" s="484">
        <f>IF(+I14&lt;F43,I14,D44)</f>
        <v>36202.428571428572</v>
      </c>
      <c r="F44" s="485">
        <f t="shared" si="20"/>
        <v>586268.48364391469</v>
      </c>
      <c r="G44" s="486">
        <f t="shared" si="21"/>
        <v>101360.27863337433</v>
      </c>
      <c r="H44" s="455">
        <f t="shared" si="22"/>
        <v>101360.27863337433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586268.48364391469</v>
      </c>
      <c r="E45" s="484">
        <f>IF(+I14&lt;F44,I14,D45)</f>
        <v>36202.428571428572</v>
      </c>
      <c r="F45" s="485">
        <f t="shared" si="20"/>
        <v>550066.05507248617</v>
      </c>
      <c r="G45" s="486">
        <f t="shared" si="21"/>
        <v>97457.249707840587</v>
      </c>
      <c r="H45" s="455">
        <f t="shared" si="22"/>
        <v>97457.249707840587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550066.05507248617</v>
      </c>
      <c r="E46" s="484">
        <f>IF(+I14&lt;F45,I14,D46)</f>
        <v>36202.428571428572</v>
      </c>
      <c r="F46" s="485">
        <f t="shared" si="20"/>
        <v>513863.62650105759</v>
      </c>
      <c r="G46" s="486">
        <f t="shared" si="21"/>
        <v>93554.220782306802</v>
      </c>
      <c r="H46" s="455">
        <f t="shared" si="22"/>
        <v>93554.220782306802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513863.62650105759</v>
      </c>
      <c r="E47" s="484">
        <f>IF(+I14&lt;F46,I14,D47)</f>
        <v>36202.428571428572</v>
      </c>
      <c r="F47" s="485">
        <f t="shared" si="20"/>
        <v>477661.19792962901</v>
      </c>
      <c r="G47" s="486">
        <f t="shared" si="21"/>
        <v>89651.191856773046</v>
      </c>
      <c r="H47" s="455">
        <f t="shared" si="22"/>
        <v>89651.191856773046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477661.19792962901</v>
      </c>
      <c r="E48" s="484">
        <f>IF(+I14&lt;F47,I14,D48)</f>
        <v>36202.428571428572</v>
      </c>
      <c r="F48" s="485">
        <f t="shared" si="20"/>
        <v>441458.76935820043</v>
      </c>
      <c r="G48" s="486">
        <f t="shared" si="21"/>
        <v>85748.162931239291</v>
      </c>
      <c r="H48" s="455">
        <f t="shared" si="22"/>
        <v>85748.162931239291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441458.76935820043</v>
      </c>
      <c r="E49" s="484">
        <f>IF(+I14&lt;F48,I14,D49)</f>
        <v>36202.428571428572</v>
      </c>
      <c r="F49" s="485">
        <f t="shared" ref="F49:F72" si="23">+D49-E49</f>
        <v>405256.34078677185</v>
      </c>
      <c r="G49" s="486">
        <f t="shared" si="21"/>
        <v>81845.134005705535</v>
      </c>
      <c r="H49" s="455">
        <f t="shared" si="22"/>
        <v>81845.134005705535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3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405256.34078677185</v>
      </c>
      <c r="E50" s="484">
        <f>IF(+I14&lt;F49,I14,D50)</f>
        <v>36202.428571428572</v>
      </c>
      <c r="F50" s="485">
        <f t="shared" si="23"/>
        <v>369053.91221534327</v>
      </c>
      <c r="G50" s="486">
        <f t="shared" si="21"/>
        <v>77942.10508017175</v>
      </c>
      <c r="H50" s="455">
        <f t="shared" si="22"/>
        <v>77942.10508017175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3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369053.91221534327</v>
      </c>
      <c r="E51" s="484">
        <f>IF(+I14&lt;F50,I14,D51)</f>
        <v>36202.428571428572</v>
      </c>
      <c r="F51" s="485">
        <f t="shared" si="23"/>
        <v>332851.48364391469</v>
      </c>
      <c r="G51" s="486">
        <f t="shared" si="21"/>
        <v>74039.076154637994</v>
      </c>
      <c r="H51" s="455">
        <f t="shared" si="22"/>
        <v>74039.076154637994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3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332851.48364391469</v>
      </c>
      <c r="E52" s="484">
        <f>IF(+I14&lt;F51,I14,D52)</f>
        <v>36202.428571428572</v>
      </c>
      <c r="F52" s="485">
        <f t="shared" si="23"/>
        <v>296649.05507248611</v>
      </c>
      <c r="G52" s="486">
        <f t="shared" si="21"/>
        <v>70136.047229104239</v>
      </c>
      <c r="H52" s="455">
        <f t="shared" si="22"/>
        <v>70136.047229104239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3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296649.05507248611</v>
      </c>
      <c r="E53" s="484">
        <f>IF(+I14&lt;F52,I14,D53)</f>
        <v>36202.428571428572</v>
      </c>
      <c r="F53" s="485">
        <f t="shared" si="23"/>
        <v>260446.62650105753</v>
      </c>
      <c r="G53" s="486">
        <f t="shared" si="21"/>
        <v>66233.018303570483</v>
      </c>
      <c r="H53" s="455">
        <f t="shared" si="22"/>
        <v>66233.018303570483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3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260446.62650105753</v>
      </c>
      <c r="E54" s="484">
        <f>IF(+I14&lt;F53,I14,D54)</f>
        <v>36202.428571428572</v>
      </c>
      <c r="F54" s="485">
        <f t="shared" si="23"/>
        <v>224244.19792962895</v>
      </c>
      <c r="G54" s="486">
        <f t="shared" si="21"/>
        <v>62329.989378036713</v>
      </c>
      <c r="H54" s="455">
        <f t="shared" si="22"/>
        <v>62329.989378036713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3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224244.19792962895</v>
      </c>
      <c r="E55" s="484">
        <f>IF(+I14&lt;F54,I14,D55)</f>
        <v>36202.428571428572</v>
      </c>
      <c r="F55" s="485">
        <f t="shared" si="23"/>
        <v>188041.76935820037</v>
      </c>
      <c r="G55" s="486">
        <f t="shared" si="21"/>
        <v>58426.960452502943</v>
      </c>
      <c r="H55" s="455">
        <f t="shared" si="22"/>
        <v>58426.960452502943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3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188041.76935820037</v>
      </c>
      <c r="E56" s="484">
        <f>IF(+I14&lt;F55,I14,D56)</f>
        <v>36202.428571428572</v>
      </c>
      <c r="F56" s="485">
        <f t="shared" si="23"/>
        <v>151839.34078677179</v>
      </c>
      <c r="G56" s="486">
        <f t="shared" si="21"/>
        <v>54523.931526969187</v>
      </c>
      <c r="H56" s="455">
        <f t="shared" si="22"/>
        <v>54523.931526969187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3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151839.34078677179</v>
      </c>
      <c r="E57" s="484">
        <f>IF(+I14&lt;F56,I14,D57)</f>
        <v>36202.428571428572</v>
      </c>
      <c r="F57" s="485">
        <f t="shared" si="23"/>
        <v>115636.91221534321</v>
      </c>
      <c r="G57" s="486">
        <f t="shared" si="21"/>
        <v>50620.902601435424</v>
      </c>
      <c r="H57" s="455">
        <f t="shared" si="22"/>
        <v>50620.902601435424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3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115636.91221534321</v>
      </c>
      <c r="E58" s="484">
        <f>IF(+I14&lt;F57,I14,D58)</f>
        <v>36202.428571428572</v>
      </c>
      <c r="F58" s="485">
        <f t="shared" si="23"/>
        <v>79434.483643914631</v>
      </c>
      <c r="G58" s="486">
        <f t="shared" si="21"/>
        <v>46717.873675901661</v>
      </c>
      <c r="H58" s="455">
        <f t="shared" si="22"/>
        <v>46717.873675901661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3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79434.483643914631</v>
      </c>
      <c r="E59" s="484">
        <f>IF(+I14&lt;F58,I14,D59)</f>
        <v>36202.428571428572</v>
      </c>
      <c r="F59" s="485">
        <f t="shared" si="23"/>
        <v>43232.055072486059</v>
      </c>
      <c r="G59" s="486">
        <f t="shared" si="21"/>
        <v>42814.844750367898</v>
      </c>
      <c r="H59" s="455">
        <f t="shared" si="22"/>
        <v>42814.844750367898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3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43232.055072486059</v>
      </c>
      <c r="E60" s="484">
        <f>IF(+I14&lt;F59,I14,D60)</f>
        <v>36202.428571428572</v>
      </c>
      <c r="F60" s="485">
        <f t="shared" si="23"/>
        <v>7029.6265010574862</v>
      </c>
      <c r="G60" s="486">
        <f t="shared" si="21"/>
        <v>38911.815824834135</v>
      </c>
      <c r="H60" s="455">
        <f t="shared" si="22"/>
        <v>38911.815824834135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3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7029.6265010574862</v>
      </c>
      <c r="E61" s="484">
        <f>IF(+I14&lt;F60,I14,D61)</f>
        <v>7029.6265010574862</v>
      </c>
      <c r="F61" s="485">
        <f t="shared" si="23"/>
        <v>0</v>
      </c>
      <c r="G61" s="486">
        <f t="shared" si="21"/>
        <v>7408.5628963768258</v>
      </c>
      <c r="H61" s="455">
        <f t="shared" si="22"/>
        <v>7408.5628963768258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3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6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3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3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3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3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3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3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3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3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3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si="21"/>
        <v>0</v>
      </c>
      <c r="H72" s="490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3"/>
    </row>
    <row r="73" spans="2:16">
      <c r="C73" s="347" t="s">
        <v>77</v>
      </c>
      <c r="D73" s="348"/>
      <c r="E73" s="348">
        <f>SUM(E17:E72)</f>
        <v>1520502.0000000007</v>
      </c>
      <c r="F73" s="348"/>
      <c r="G73" s="348">
        <f>SUM(G17:G72)</f>
        <v>5527671.1576495012</v>
      </c>
      <c r="H73" s="348">
        <f>SUM(H17:H72)</f>
        <v>5527671.1576495012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6 of 31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2022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150148.14020254629</v>
      </c>
      <c r="N87" s="508">
        <f>IF(J92&lt;D11,0,VLOOKUP(J92,C17:O72,11))</f>
        <v>150148.14020254629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156630.9466717566</v>
      </c>
      <c r="N88" s="512">
        <f>IF(J92&lt;D11,0,VLOOKUP(J92,C99:P154,7))</f>
        <v>156630.9466717566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Pryor Junction 138/69 Upgrade Transf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6482.8064692103071</v>
      </c>
      <c r="N89" s="517">
        <f>+N88-N87</f>
        <v>6482.8064692103071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TP2006090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1520502</v>
      </c>
      <c r="E92" s="312" t="s">
        <v>94</v>
      </c>
      <c r="H92" s="448"/>
      <c r="I92" s="448"/>
      <c r="J92" s="449">
        <f>+'PSO.WS.G.BPU.ATRR.True-up'!M16</f>
        <v>2022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0.11018265287564978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39</v>
      </c>
      <c r="E95" s="450" t="s">
        <v>59</v>
      </c>
      <c r="F95" s="448"/>
      <c r="G95" s="448"/>
      <c r="J95" s="454">
        <f>IF(H87="",J94,'PSO.WS.G.BPU.ATRR.True-up'!$F$80)</f>
        <v>0.11018265287564978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38987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283</v>
      </c>
      <c r="I97" s="461" t="s">
        <v>284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19125</v>
      </c>
      <c r="F99" s="479">
        <v>1501348</v>
      </c>
      <c r="G99" s="537">
        <v>750764</v>
      </c>
      <c r="H99" s="538">
        <v>138367</v>
      </c>
      <c r="I99" s="539">
        <v>138367</v>
      </c>
      <c r="J99" s="478">
        <f t="shared" ref="J99:J130" si="28">+I99-H99</f>
        <v>0</v>
      </c>
      <c r="K99" s="478"/>
      <c r="L99" s="554">
        <v>138367</v>
      </c>
      <c r="M99" s="477">
        <f t="shared" ref="M99:M130" si="29">IF(L99&lt;&gt;0,+H99-L99,0)</f>
        <v>0</v>
      </c>
      <c r="N99" s="554">
        <v>138367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1501377</v>
      </c>
      <c r="E100" s="480">
        <v>27152</v>
      </c>
      <c r="F100" s="479">
        <v>1474225</v>
      </c>
      <c r="G100" s="479">
        <v>1487801</v>
      </c>
      <c r="H100" s="480">
        <v>244680.82784018715</v>
      </c>
      <c r="I100" s="481">
        <v>244680.82784018715</v>
      </c>
      <c r="J100" s="478">
        <f t="shared" si="28"/>
        <v>0</v>
      </c>
      <c r="K100" s="478"/>
      <c r="L100" s="540">
        <f t="shared" ref="L100:L105" si="32">H100</f>
        <v>244680.82784018715</v>
      </c>
      <c r="M100" s="541">
        <f t="shared" si="29"/>
        <v>0</v>
      </c>
      <c r="N100" s="540">
        <f t="shared" ref="N100:N105" si="33">I100</f>
        <v>244680.82784018715</v>
      </c>
      <c r="O100" s="478">
        <f t="shared" si="30"/>
        <v>0</v>
      </c>
      <c r="P100" s="478">
        <f t="shared" si="31"/>
        <v>0</v>
      </c>
    </row>
    <row r="101" spans="1:16">
      <c r="B101" s="160" t="str">
        <f t="shared" ref="B101:B154" si="34">IF(D101=F100,"","IU")</f>
        <v/>
      </c>
      <c r="C101" s="472">
        <f>IF(D93="","-",+C100+1)</f>
        <v>2010</v>
      </c>
      <c r="D101" s="473">
        <v>1474225</v>
      </c>
      <c r="E101" s="480">
        <v>29814</v>
      </c>
      <c r="F101" s="479">
        <v>1444411</v>
      </c>
      <c r="G101" s="479">
        <v>1459318</v>
      </c>
      <c r="H101" s="480">
        <v>264494.5477733505</v>
      </c>
      <c r="I101" s="481">
        <v>264494.5477733505</v>
      </c>
      <c r="J101" s="478">
        <f t="shared" si="28"/>
        <v>0</v>
      </c>
      <c r="K101" s="478"/>
      <c r="L101" s="540">
        <f t="shared" si="32"/>
        <v>264494.5477733505</v>
      </c>
      <c r="M101" s="541">
        <f t="shared" si="29"/>
        <v>0</v>
      </c>
      <c r="N101" s="540">
        <f t="shared" si="33"/>
        <v>264494.5477733505</v>
      </c>
      <c r="O101" s="478">
        <f t="shared" si="30"/>
        <v>0</v>
      </c>
      <c r="P101" s="478">
        <f t="shared" si="31"/>
        <v>0</v>
      </c>
    </row>
    <row r="102" spans="1:16">
      <c r="B102" s="160" t="str">
        <f t="shared" si="34"/>
        <v/>
      </c>
      <c r="C102" s="472">
        <f>IF(D93="","-",+C101+1)</f>
        <v>2011</v>
      </c>
      <c r="D102" s="473">
        <v>1444411</v>
      </c>
      <c r="E102" s="480">
        <v>29240</v>
      </c>
      <c r="F102" s="479">
        <v>1415171</v>
      </c>
      <c r="G102" s="479">
        <v>1429791</v>
      </c>
      <c r="H102" s="480">
        <v>229143.9952359481</v>
      </c>
      <c r="I102" s="481">
        <v>229143.9952359481</v>
      </c>
      <c r="J102" s="478">
        <f t="shared" si="28"/>
        <v>0</v>
      </c>
      <c r="K102" s="478"/>
      <c r="L102" s="540">
        <f t="shared" si="32"/>
        <v>229143.9952359481</v>
      </c>
      <c r="M102" s="541">
        <f t="shared" si="29"/>
        <v>0</v>
      </c>
      <c r="N102" s="540">
        <f t="shared" si="33"/>
        <v>229143.9952359481</v>
      </c>
      <c r="O102" s="478">
        <f t="shared" si="30"/>
        <v>0</v>
      </c>
      <c r="P102" s="478">
        <f t="shared" si="31"/>
        <v>0</v>
      </c>
    </row>
    <row r="103" spans="1:16">
      <c r="B103" s="160" t="str">
        <f t="shared" si="34"/>
        <v/>
      </c>
      <c r="C103" s="472">
        <f>IF(D93="","-",+C102+1)</f>
        <v>2012</v>
      </c>
      <c r="D103" s="473">
        <v>1415171</v>
      </c>
      <c r="E103" s="480">
        <v>29240</v>
      </c>
      <c r="F103" s="479">
        <v>1385931</v>
      </c>
      <c r="G103" s="479">
        <v>1400551</v>
      </c>
      <c r="H103" s="480">
        <v>230716.93888695308</v>
      </c>
      <c r="I103" s="481">
        <v>230716.93888695308</v>
      </c>
      <c r="J103" s="478">
        <v>0</v>
      </c>
      <c r="K103" s="478"/>
      <c r="L103" s="540">
        <f t="shared" si="32"/>
        <v>230716.93888695308</v>
      </c>
      <c r="M103" s="541">
        <f t="shared" ref="M103:M108" si="35">IF(L103&lt;&gt;0,+H103-L103,0)</f>
        <v>0</v>
      </c>
      <c r="N103" s="540">
        <f t="shared" si="33"/>
        <v>230716.93888695308</v>
      </c>
      <c r="O103" s="478">
        <f t="shared" ref="O103:O108" si="36">IF(N103&lt;&gt;0,+I103-N103,0)</f>
        <v>0</v>
      </c>
      <c r="P103" s="478">
        <f t="shared" ref="P103:P108" si="37">+O103-M103</f>
        <v>0</v>
      </c>
    </row>
    <row r="104" spans="1:16">
      <c r="B104" s="160" t="str">
        <f t="shared" si="34"/>
        <v/>
      </c>
      <c r="C104" s="472">
        <f>IF(D93="","-",+C103+1)</f>
        <v>2013</v>
      </c>
      <c r="D104" s="473">
        <v>1385931</v>
      </c>
      <c r="E104" s="480">
        <v>29240</v>
      </c>
      <c r="F104" s="479">
        <v>1356691</v>
      </c>
      <c r="G104" s="479">
        <v>1371311</v>
      </c>
      <c r="H104" s="480">
        <v>226625.94850487544</v>
      </c>
      <c r="I104" s="481">
        <v>226625.94850487544</v>
      </c>
      <c r="J104" s="478">
        <v>0</v>
      </c>
      <c r="K104" s="478"/>
      <c r="L104" s="540">
        <f t="shared" si="32"/>
        <v>226625.94850487544</v>
      </c>
      <c r="M104" s="541">
        <f t="shared" si="35"/>
        <v>0</v>
      </c>
      <c r="N104" s="540">
        <f t="shared" si="33"/>
        <v>226625.94850487544</v>
      </c>
      <c r="O104" s="478">
        <f t="shared" si="36"/>
        <v>0</v>
      </c>
      <c r="P104" s="478">
        <f t="shared" si="37"/>
        <v>0</v>
      </c>
    </row>
    <row r="105" spans="1:16">
      <c r="B105" s="160" t="str">
        <f t="shared" si="34"/>
        <v/>
      </c>
      <c r="C105" s="472">
        <f>IF(D93="","-",+C104+1)</f>
        <v>2014</v>
      </c>
      <c r="D105" s="473">
        <v>1356691</v>
      </c>
      <c r="E105" s="480">
        <v>29240</v>
      </c>
      <c r="F105" s="479">
        <v>1327451</v>
      </c>
      <c r="G105" s="479">
        <v>1342071</v>
      </c>
      <c r="H105" s="480">
        <v>217929.69653942893</v>
      </c>
      <c r="I105" s="481">
        <v>217929.69653942893</v>
      </c>
      <c r="J105" s="478">
        <v>0</v>
      </c>
      <c r="K105" s="478"/>
      <c r="L105" s="540">
        <f t="shared" si="32"/>
        <v>217929.69653942893</v>
      </c>
      <c r="M105" s="541">
        <f t="shared" si="35"/>
        <v>0</v>
      </c>
      <c r="N105" s="540">
        <f t="shared" si="33"/>
        <v>217929.69653942893</v>
      </c>
      <c r="O105" s="478">
        <f t="shared" si="36"/>
        <v>0</v>
      </c>
      <c r="P105" s="478">
        <f t="shared" si="37"/>
        <v>0</v>
      </c>
    </row>
    <row r="106" spans="1:16">
      <c r="B106" s="160" t="str">
        <f t="shared" si="34"/>
        <v/>
      </c>
      <c r="C106" s="472">
        <f>IF(D93="","-",+C105+1)</f>
        <v>2015</v>
      </c>
      <c r="D106" s="473">
        <v>1327451</v>
      </c>
      <c r="E106" s="480">
        <v>29240</v>
      </c>
      <c r="F106" s="479">
        <v>1298211</v>
      </c>
      <c r="G106" s="479">
        <v>1312831</v>
      </c>
      <c r="H106" s="480">
        <v>208365.23426858318</v>
      </c>
      <c r="I106" s="481">
        <v>208365.23426858318</v>
      </c>
      <c r="J106" s="478">
        <f t="shared" si="28"/>
        <v>0</v>
      </c>
      <c r="K106" s="478"/>
      <c r="L106" s="540">
        <f t="shared" ref="L106:L111" si="38">H106</f>
        <v>208365.23426858318</v>
      </c>
      <c r="M106" s="541">
        <f t="shared" si="35"/>
        <v>0</v>
      </c>
      <c r="N106" s="540">
        <f t="shared" ref="N106:N111" si="39">I106</f>
        <v>208365.23426858318</v>
      </c>
      <c r="O106" s="478">
        <f t="shared" si="36"/>
        <v>0</v>
      </c>
      <c r="P106" s="478">
        <f t="shared" si="37"/>
        <v>0</v>
      </c>
    </row>
    <row r="107" spans="1:16">
      <c r="B107" s="160" t="str">
        <f t="shared" si="34"/>
        <v/>
      </c>
      <c r="C107" s="472">
        <f>IF(D93="","-",+C106+1)</f>
        <v>2016</v>
      </c>
      <c r="D107" s="473">
        <v>1298211</v>
      </c>
      <c r="E107" s="480">
        <v>33054</v>
      </c>
      <c r="F107" s="479">
        <v>1265157</v>
      </c>
      <c r="G107" s="479">
        <v>1281684</v>
      </c>
      <c r="H107" s="480">
        <v>198283.25268027262</v>
      </c>
      <c r="I107" s="481">
        <v>198283.25268027262</v>
      </c>
      <c r="J107" s="478">
        <f t="shared" si="28"/>
        <v>0</v>
      </c>
      <c r="K107" s="478"/>
      <c r="L107" s="540">
        <f t="shared" si="38"/>
        <v>198283.25268027262</v>
      </c>
      <c r="M107" s="541">
        <f t="shared" si="35"/>
        <v>0</v>
      </c>
      <c r="N107" s="540">
        <f t="shared" si="39"/>
        <v>198283.25268027262</v>
      </c>
      <c r="O107" s="478">
        <f t="shared" si="36"/>
        <v>0</v>
      </c>
      <c r="P107" s="478">
        <f t="shared" si="37"/>
        <v>0</v>
      </c>
    </row>
    <row r="108" spans="1:16">
      <c r="B108" s="160" t="str">
        <f t="shared" si="34"/>
        <v/>
      </c>
      <c r="C108" s="472">
        <f>IF(D93="","-",+C107+1)</f>
        <v>2017</v>
      </c>
      <c r="D108" s="473">
        <v>1265157</v>
      </c>
      <c r="E108" s="480">
        <v>33054</v>
      </c>
      <c r="F108" s="479">
        <v>1232103</v>
      </c>
      <c r="G108" s="479">
        <v>1248630</v>
      </c>
      <c r="H108" s="480">
        <v>191445.86392166355</v>
      </c>
      <c r="I108" s="481">
        <v>191445.86392166355</v>
      </c>
      <c r="J108" s="478">
        <f t="shared" si="28"/>
        <v>0</v>
      </c>
      <c r="K108" s="478"/>
      <c r="L108" s="540">
        <f t="shared" si="38"/>
        <v>191445.86392166355</v>
      </c>
      <c r="M108" s="541">
        <f t="shared" si="35"/>
        <v>0</v>
      </c>
      <c r="N108" s="540">
        <f t="shared" si="39"/>
        <v>191445.86392166355</v>
      </c>
      <c r="O108" s="478">
        <f t="shared" si="36"/>
        <v>0</v>
      </c>
      <c r="P108" s="478">
        <f t="shared" si="37"/>
        <v>0</v>
      </c>
    </row>
    <row r="109" spans="1:16">
      <c r="B109" s="160" t="str">
        <f t="shared" si="34"/>
        <v/>
      </c>
      <c r="C109" s="472">
        <f>IF(D93="","-",+C108+1)</f>
        <v>2018</v>
      </c>
      <c r="D109" s="473">
        <v>1232103</v>
      </c>
      <c r="E109" s="480">
        <v>35361</v>
      </c>
      <c r="F109" s="479">
        <v>1196742</v>
      </c>
      <c r="G109" s="479">
        <v>1214422.5</v>
      </c>
      <c r="H109" s="480">
        <v>160125.3839048628</v>
      </c>
      <c r="I109" s="481">
        <v>160125.3839048628</v>
      </c>
      <c r="J109" s="478">
        <f t="shared" si="28"/>
        <v>0</v>
      </c>
      <c r="K109" s="478"/>
      <c r="L109" s="540">
        <f t="shared" si="38"/>
        <v>160125.3839048628</v>
      </c>
      <c r="M109" s="541">
        <f t="shared" ref="M109" si="40">IF(L109&lt;&gt;0,+H109-L109,0)</f>
        <v>0</v>
      </c>
      <c r="N109" s="540">
        <f t="shared" si="39"/>
        <v>160125.3839048628</v>
      </c>
      <c r="O109" s="478">
        <f t="shared" ref="O109" si="41">IF(N109&lt;&gt;0,+I109-N109,0)</f>
        <v>0</v>
      </c>
      <c r="P109" s="478">
        <f t="shared" ref="P109" si="42">+O109-M109</f>
        <v>0</v>
      </c>
    </row>
    <row r="110" spans="1:16">
      <c r="B110" s="160" t="str">
        <f t="shared" si="34"/>
        <v/>
      </c>
      <c r="C110" s="472">
        <f>IF(D93="","-",+C109+1)</f>
        <v>2019</v>
      </c>
      <c r="D110" s="473">
        <v>1196742</v>
      </c>
      <c r="E110" s="480">
        <v>37085</v>
      </c>
      <c r="F110" s="479">
        <v>1159657</v>
      </c>
      <c r="G110" s="479">
        <v>1178199.5</v>
      </c>
      <c r="H110" s="480">
        <v>158573.89397118561</v>
      </c>
      <c r="I110" s="481">
        <v>158573.89397118561</v>
      </c>
      <c r="J110" s="478">
        <f t="shared" si="28"/>
        <v>0</v>
      </c>
      <c r="K110" s="478"/>
      <c r="L110" s="540">
        <f t="shared" si="38"/>
        <v>158573.89397118561</v>
      </c>
      <c r="M110" s="541">
        <f t="shared" ref="M110" si="43">IF(L110&lt;&gt;0,+H110-L110,0)</f>
        <v>0</v>
      </c>
      <c r="N110" s="540">
        <f t="shared" si="39"/>
        <v>158573.89397118561</v>
      </c>
      <c r="O110" s="478">
        <f t="shared" si="30"/>
        <v>0</v>
      </c>
      <c r="P110" s="478">
        <f t="shared" si="31"/>
        <v>0</v>
      </c>
    </row>
    <row r="111" spans="1:16">
      <c r="B111" s="160" t="str">
        <f t="shared" si="34"/>
        <v/>
      </c>
      <c r="C111" s="472">
        <f>IF(D93="","-",+C110+1)</f>
        <v>2020</v>
      </c>
      <c r="D111" s="473">
        <v>1159657</v>
      </c>
      <c r="E111" s="480">
        <v>35361</v>
      </c>
      <c r="F111" s="479">
        <v>1124296</v>
      </c>
      <c r="G111" s="479">
        <v>1141976.5</v>
      </c>
      <c r="H111" s="480">
        <v>167027.75084448946</v>
      </c>
      <c r="I111" s="481">
        <v>167027.75084448946</v>
      </c>
      <c r="J111" s="478">
        <f t="shared" si="28"/>
        <v>0</v>
      </c>
      <c r="K111" s="478"/>
      <c r="L111" s="540">
        <f t="shared" si="38"/>
        <v>167027.75084448946</v>
      </c>
      <c r="M111" s="541">
        <f t="shared" ref="M111" si="44">IF(L111&lt;&gt;0,+H111-L111,0)</f>
        <v>0</v>
      </c>
      <c r="N111" s="540">
        <f t="shared" si="39"/>
        <v>167027.75084448946</v>
      </c>
      <c r="O111" s="478">
        <f t="shared" si="30"/>
        <v>0</v>
      </c>
      <c r="P111" s="478">
        <f t="shared" si="31"/>
        <v>0</v>
      </c>
    </row>
    <row r="112" spans="1:16">
      <c r="B112" s="160" t="str">
        <f t="shared" si="34"/>
        <v/>
      </c>
      <c r="C112" s="472">
        <f>IF(D93="","-",+C111+1)</f>
        <v>2021</v>
      </c>
      <c r="D112" s="473">
        <v>1124296</v>
      </c>
      <c r="E112" s="480">
        <v>37085</v>
      </c>
      <c r="F112" s="479">
        <v>1087211</v>
      </c>
      <c r="G112" s="479">
        <v>1105753.5</v>
      </c>
      <c r="H112" s="480">
        <v>162911.77916931669</v>
      </c>
      <c r="I112" s="481">
        <v>162911.77916931669</v>
      </c>
      <c r="J112" s="478">
        <f t="shared" si="28"/>
        <v>0</v>
      </c>
      <c r="K112" s="478"/>
      <c r="L112" s="540">
        <f t="shared" ref="L112" si="45">H112</f>
        <v>162911.77916931669</v>
      </c>
      <c r="M112" s="541">
        <f t="shared" ref="M112" si="46">IF(L112&lt;&gt;0,+H112-L112,0)</f>
        <v>0</v>
      </c>
      <c r="N112" s="540">
        <f t="shared" ref="N112" si="47">I112</f>
        <v>162911.77916931669</v>
      </c>
      <c r="O112" s="478">
        <f t="shared" si="30"/>
        <v>0</v>
      </c>
      <c r="P112" s="478">
        <f t="shared" si="31"/>
        <v>0</v>
      </c>
    </row>
    <row r="113" spans="2:16">
      <c r="B113" s="160" t="str">
        <f t="shared" si="34"/>
        <v/>
      </c>
      <c r="C113" s="472">
        <f>IF(D93="","-",+C112+1)</f>
        <v>2022</v>
      </c>
      <c r="D113" s="347">
        <f>IF(F112+SUM(E$99:E112)=D$92,F112,D$92-SUM(E$99:E112))</f>
        <v>1087211</v>
      </c>
      <c r="E113" s="486">
        <f>IF(+J96&lt;F112,J96,D113)</f>
        <v>38987</v>
      </c>
      <c r="F113" s="485">
        <f t="shared" ref="F113:F130" si="48">+D113-E113</f>
        <v>1048224</v>
      </c>
      <c r="G113" s="485">
        <f t="shared" ref="G113:G130" si="49">+(F113+D113)/2</f>
        <v>1067717.5</v>
      </c>
      <c r="H113" s="486">
        <f t="shared" ref="H113:H153" si="50">(D113+F113)/2*J$94+E113</f>
        <v>156630.9466717566</v>
      </c>
      <c r="I113" s="542">
        <f t="shared" ref="I113:I153" si="51">+J$95*G113+E113</f>
        <v>156630.9466717566</v>
      </c>
      <c r="J113" s="478">
        <f t="shared" si="28"/>
        <v>0</v>
      </c>
      <c r="K113" s="478"/>
      <c r="L113" s="487"/>
      <c r="M113" s="478">
        <f t="shared" si="29"/>
        <v>0</v>
      </c>
      <c r="N113" s="487"/>
      <c r="O113" s="478">
        <f t="shared" si="30"/>
        <v>0</v>
      </c>
      <c r="P113" s="478">
        <f t="shared" si="31"/>
        <v>0</v>
      </c>
    </row>
    <row r="114" spans="2:16">
      <c r="B114" s="160" t="str">
        <f t="shared" si="34"/>
        <v/>
      </c>
      <c r="C114" s="472">
        <f>IF(D93="","-",+C113+1)</f>
        <v>2023</v>
      </c>
      <c r="D114" s="347">
        <f>IF(F113+SUM(E$99:E113)=D$92,F113,D$92-SUM(E$99:E113))</f>
        <v>1048224</v>
      </c>
      <c r="E114" s="486">
        <f>IF(+J96&lt;F113,J96,D114)</f>
        <v>38987</v>
      </c>
      <c r="F114" s="485">
        <f t="shared" si="48"/>
        <v>1009237</v>
      </c>
      <c r="G114" s="485">
        <f t="shared" si="49"/>
        <v>1028730.5</v>
      </c>
      <c r="H114" s="486">
        <f t="shared" si="50"/>
        <v>152335.25558409363</v>
      </c>
      <c r="I114" s="542">
        <f t="shared" si="51"/>
        <v>152335.25558409363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>
      <c r="B115" s="160" t="str">
        <f t="shared" si="34"/>
        <v/>
      </c>
      <c r="C115" s="472">
        <f>IF(D93="","-",+C114+1)</f>
        <v>2024</v>
      </c>
      <c r="D115" s="347">
        <f>IF(F114+SUM(E$99:E114)=D$92,F114,D$92-SUM(E$99:E114))</f>
        <v>1009237</v>
      </c>
      <c r="E115" s="486">
        <f>IF(+J96&lt;F114,J96,D115)</f>
        <v>38987</v>
      </c>
      <c r="F115" s="485">
        <f t="shared" si="48"/>
        <v>970250</v>
      </c>
      <c r="G115" s="485">
        <f t="shared" si="49"/>
        <v>989743.5</v>
      </c>
      <c r="H115" s="486">
        <f t="shared" si="50"/>
        <v>148039.56449643068</v>
      </c>
      <c r="I115" s="542">
        <f t="shared" si="51"/>
        <v>148039.56449643068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>
      <c r="B116" s="160" t="str">
        <f t="shared" si="34"/>
        <v/>
      </c>
      <c r="C116" s="472">
        <f>IF(D93="","-",+C115+1)</f>
        <v>2025</v>
      </c>
      <c r="D116" s="347">
        <f>IF(F115+SUM(E$99:E115)=D$92,F115,D$92-SUM(E$99:E115))</f>
        <v>970250</v>
      </c>
      <c r="E116" s="486">
        <f>IF(+J96&lt;F115,J96,D116)</f>
        <v>38987</v>
      </c>
      <c r="F116" s="485">
        <f t="shared" si="48"/>
        <v>931263</v>
      </c>
      <c r="G116" s="485">
        <f t="shared" si="49"/>
        <v>950756.5</v>
      </c>
      <c r="H116" s="486">
        <f t="shared" si="50"/>
        <v>143743.87340876771</v>
      </c>
      <c r="I116" s="542">
        <f t="shared" si="51"/>
        <v>143743.87340876771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>
      <c r="B117" s="160" t="str">
        <f t="shared" si="34"/>
        <v/>
      </c>
      <c r="C117" s="472">
        <f>IF(D93="","-",+C116+1)</f>
        <v>2026</v>
      </c>
      <c r="D117" s="347">
        <f>IF(F116+SUM(E$99:E116)=D$92,F116,D$92-SUM(E$99:E116))</f>
        <v>931263</v>
      </c>
      <c r="E117" s="486">
        <f>IF(+J96&lt;F116,J96,D117)</f>
        <v>38987</v>
      </c>
      <c r="F117" s="485">
        <f t="shared" si="48"/>
        <v>892276</v>
      </c>
      <c r="G117" s="485">
        <f t="shared" si="49"/>
        <v>911769.5</v>
      </c>
      <c r="H117" s="486">
        <f t="shared" si="50"/>
        <v>139448.18232110474</v>
      </c>
      <c r="I117" s="542">
        <f t="shared" si="51"/>
        <v>139448.18232110474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>
      <c r="B118" s="160" t="str">
        <f t="shared" si="34"/>
        <v/>
      </c>
      <c r="C118" s="472">
        <f>IF(D93="","-",+C117+1)</f>
        <v>2027</v>
      </c>
      <c r="D118" s="347">
        <f>IF(F117+SUM(E$99:E117)=D$92,F117,D$92-SUM(E$99:E117))</f>
        <v>892276</v>
      </c>
      <c r="E118" s="486">
        <f>IF(+J96&lt;F117,J96,D118)</f>
        <v>38987</v>
      </c>
      <c r="F118" s="485">
        <f t="shared" si="48"/>
        <v>853289</v>
      </c>
      <c r="G118" s="485">
        <f t="shared" si="49"/>
        <v>872782.5</v>
      </c>
      <c r="H118" s="486">
        <f t="shared" si="50"/>
        <v>135152.4912334418</v>
      </c>
      <c r="I118" s="542">
        <f t="shared" si="51"/>
        <v>135152.4912334418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>
      <c r="B119" s="160" t="str">
        <f t="shared" si="34"/>
        <v/>
      </c>
      <c r="C119" s="472">
        <f>IF(D93="","-",+C118+1)</f>
        <v>2028</v>
      </c>
      <c r="D119" s="347">
        <f>IF(F118+SUM(E$99:E118)=D$92,F118,D$92-SUM(E$99:E118))</f>
        <v>853289</v>
      </c>
      <c r="E119" s="486">
        <f>IF(+J96&lt;F118,J96,D119)</f>
        <v>38987</v>
      </c>
      <c r="F119" s="485">
        <f t="shared" si="48"/>
        <v>814302</v>
      </c>
      <c r="G119" s="485">
        <f t="shared" si="49"/>
        <v>833795.5</v>
      </c>
      <c r="H119" s="486">
        <f t="shared" si="50"/>
        <v>130856.80014577885</v>
      </c>
      <c r="I119" s="542">
        <f t="shared" si="51"/>
        <v>130856.80014577885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>
      <c r="B120" s="160" t="str">
        <f t="shared" si="34"/>
        <v/>
      </c>
      <c r="C120" s="472">
        <f>IF(D93="","-",+C119+1)</f>
        <v>2029</v>
      </c>
      <c r="D120" s="347">
        <f>IF(F119+SUM(E$99:E119)=D$92,F119,D$92-SUM(E$99:E119))</f>
        <v>814302</v>
      </c>
      <c r="E120" s="486">
        <f>IF(+J96&lt;F119,J96,D120)</f>
        <v>38987</v>
      </c>
      <c r="F120" s="485">
        <f t="shared" si="48"/>
        <v>775315</v>
      </c>
      <c r="G120" s="485">
        <f t="shared" si="49"/>
        <v>794808.5</v>
      </c>
      <c r="H120" s="486">
        <f t="shared" si="50"/>
        <v>126561.10905811589</v>
      </c>
      <c r="I120" s="542">
        <f t="shared" si="51"/>
        <v>126561.10905811589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>
      <c r="B121" s="160" t="str">
        <f t="shared" si="34"/>
        <v/>
      </c>
      <c r="C121" s="472">
        <f>IF(D93="","-",+C120+1)</f>
        <v>2030</v>
      </c>
      <c r="D121" s="347">
        <f>IF(F120+SUM(E$99:E120)=D$92,F120,D$92-SUM(E$99:E120))</f>
        <v>775315</v>
      </c>
      <c r="E121" s="486">
        <f>IF(+J96&lt;F120,J96,D121)</f>
        <v>38987</v>
      </c>
      <c r="F121" s="485">
        <f t="shared" si="48"/>
        <v>736328</v>
      </c>
      <c r="G121" s="485">
        <f t="shared" si="49"/>
        <v>755821.5</v>
      </c>
      <c r="H121" s="486">
        <f t="shared" si="50"/>
        <v>122265.41797045294</v>
      </c>
      <c r="I121" s="542">
        <f t="shared" si="51"/>
        <v>122265.41797045294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>
      <c r="B122" s="160" t="str">
        <f t="shared" si="34"/>
        <v/>
      </c>
      <c r="C122" s="472">
        <f>IF(D93="","-",+C121+1)</f>
        <v>2031</v>
      </c>
      <c r="D122" s="347">
        <f>IF(F121+SUM(E$99:E121)=D$92,F121,D$92-SUM(E$99:E121))</f>
        <v>736328</v>
      </c>
      <c r="E122" s="486">
        <f>IF(+J96&lt;F121,J96,D122)</f>
        <v>38987</v>
      </c>
      <c r="F122" s="485">
        <f t="shared" si="48"/>
        <v>697341</v>
      </c>
      <c r="G122" s="485">
        <f t="shared" si="49"/>
        <v>716834.5</v>
      </c>
      <c r="H122" s="486">
        <f t="shared" si="50"/>
        <v>117969.72688278997</v>
      </c>
      <c r="I122" s="542">
        <f t="shared" si="51"/>
        <v>117969.72688278997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>
      <c r="B123" s="160" t="str">
        <f t="shared" si="34"/>
        <v/>
      </c>
      <c r="C123" s="472">
        <f>IF(D93="","-",+C122+1)</f>
        <v>2032</v>
      </c>
      <c r="D123" s="347">
        <f>IF(F122+SUM(E$99:E122)=D$92,F122,D$92-SUM(E$99:E122))</f>
        <v>697341</v>
      </c>
      <c r="E123" s="486">
        <f>IF(+J96&lt;F122,J96,D123)</f>
        <v>38987</v>
      </c>
      <c r="F123" s="485">
        <f t="shared" si="48"/>
        <v>658354</v>
      </c>
      <c r="G123" s="485">
        <f t="shared" si="49"/>
        <v>677847.5</v>
      </c>
      <c r="H123" s="486">
        <f t="shared" si="50"/>
        <v>113674.03579512701</v>
      </c>
      <c r="I123" s="542">
        <f t="shared" si="51"/>
        <v>113674.03579512701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>
      <c r="B124" s="160" t="str">
        <f t="shared" si="34"/>
        <v/>
      </c>
      <c r="C124" s="472">
        <f>IF(D93="","-",+C123+1)</f>
        <v>2033</v>
      </c>
      <c r="D124" s="347">
        <f>IF(F123+SUM(E$99:E123)=D$92,F123,D$92-SUM(E$99:E123))</f>
        <v>658354</v>
      </c>
      <c r="E124" s="486">
        <f>IF(+J96&lt;F123,J96,D124)</f>
        <v>38987</v>
      </c>
      <c r="F124" s="485">
        <f t="shared" si="48"/>
        <v>619367</v>
      </c>
      <c r="G124" s="485">
        <f t="shared" si="49"/>
        <v>638860.5</v>
      </c>
      <c r="H124" s="486">
        <f t="shared" si="50"/>
        <v>109378.34470746406</v>
      </c>
      <c r="I124" s="542">
        <f t="shared" si="51"/>
        <v>109378.34470746406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>
      <c r="B125" s="160" t="str">
        <f t="shared" si="34"/>
        <v/>
      </c>
      <c r="C125" s="472">
        <f>IF(D93="","-",+C124+1)</f>
        <v>2034</v>
      </c>
      <c r="D125" s="347">
        <f>IF(F124+SUM(E$99:E124)=D$92,F124,D$92-SUM(E$99:E124))</f>
        <v>619367</v>
      </c>
      <c r="E125" s="486">
        <f>IF(+J96&lt;F124,J96,D125)</f>
        <v>38987</v>
      </c>
      <c r="F125" s="485">
        <f t="shared" si="48"/>
        <v>580380</v>
      </c>
      <c r="G125" s="485">
        <f t="shared" si="49"/>
        <v>599873.5</v>
      </c>
      <c r="H125" s="486">
        <f t="shared" si="50"/>
        <v>105082.6536198011</v>
      </c>
      <c r="I125" s="542">
        <f t="shared" si="51"/>
        <v>105082.6536198011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>
      <c r="B126" s="160" t="str">
        <f t="shared" si="34"/>
        <v/>
      </c>
      <c r="C126" s="472">
        <f>IF(D93="","-",+C125+1)</f>
        <v>2035</v>
      </c>
      <c r="D126" s="347">
        <f>IF(F125+SUM(E$99:E125)=D$92,F125,D$92-SUM(E$99:E125))</f>
        <v>580380</v>
      </c>
      <c r="E126" s="486">
        <f>IF(+J96&lt;F125,J96,D126)</f>
        <v>38987</v>
      </c>
      <c r="F126" s="485">
        <f t="shared" si="48"/>
        <v>541393</v>
      </c>
      <c r="G126" s="485">
        <f t="shared" si="49"/>
        <v>560886.5</v>
      </c>
      <c r="H126" s="486">
        <f t="shared" si="50"/>
        <v>100786.96253213813</v>
      </c>
      <c r="I126" s="542">
        <f t="shared" si="51"/>
        <v>100786.96253213813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>
      <c r="B127" s="160" t="str">
        <f t="shared" si="34"/>
        <v/>
      </c>
      <c r="C127" s="472">
        <f>IF(D93="","-",+C126+1)</f>
        <v>2036</v>
      </c>
      <c r="D127" s="347">
        <f>IF(F126+SUM(E$99:E126)=D$92,F126,D$92-SUM(E$99:E126))</f>
        <v>541393</v>
      </c>
      <c r="E127" s="486">
        <f>IF(+J96&lt;F126,J96,D127)</f>
        <v>38987</v>
      </c>
      <c r="F127" s="485">
        <f t="shared" si="48"/>
        <v>502406</v>
      </c>
      <c r="G127" s="485">
        <f t="shared" si="49"/>
        <v>521899.5</v>
      </c>
      <c r="H127" s="486">
        <f t="shared" si="50"/>
        <v>96491.271444475191</v>
      </c>
      <c r="I127" s="542">
        <f t="shared" si="51"/>
        <v>96491.271444475191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>
      <c r="B128" s="160" t="str">
        <f t="shared" si="34"/>
        <v/>
      </c>
      <c r="C128" s="472">
        <f>IF(D93="","-",+C127+1)</f>
        <v>2037</v>
      </c>
      <c r="D128" s="347">
        <f>IF(F127+SUM(E$99:E127)=D$92,F127,D$92-SUM(E$99:E127))</f>
        <v>502406</v>
      </c>
      <c r="E128" s="486">
        <f>IF(+J96&lt;F127,J96,D128)</f>
        <v>38987</v>
      </c>
      <c r="F128" s="485">
        <f t="shared" si="48"/>
        <v>463419</v>
      </c>
      <c r="G128" s="485">
        <f t="shared" si="49"/>
        <v>482912.5</v>
      </c>
      <c r="H128" s="486">
        <f t="shared" si="50"/>
        <v>92195.580356812221</v>
      </c>
      <c r="I128" s="542">
        <f t="shared" si="51"/>
        <v>92195.580356812221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>
      <c r="B129" s="160" t="str">
        <f t="shared" si="34"/>
        <v/>
      </c>
      <c r="C129" s="472">
        <f>IF(D93="","-",+C128+1)</f>
        <v>2038</v>
      </c>
      <c r="D129" s="347">
        <f>IF(F128+SUM(E$99:E128)=D$92,F128,D$92-SUM(E$99:E128))</f>
        <v>463419</v>
      </c>
      <c r="E129" s="486">
        <f>IF(+J96&lt;F128,J96,D129)</f>
        <v>38987</v>
      </c>
      <c r="F129" s="485">
        <f t="shared" si="48"/>
        <v>424432</v>
      </c>
      <c r="G129" s="485">
        <f t="shared" si="49"/>
        <v>443925.5</v>
      </c>
      <c r="H129" s="486">
        <f t="shared" si="50"/>
        <v>87899.889269149266</v>
      </c>
      <c r="I129" s="542">
        <f t="shared" si="51"/>
        <v>87899.889269149266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>
      <c r="B130" s="160" t="str">
        <f t="shared" si="34"/>
        <v/>
      </c>
      <c r="C130" s="472">
        <f>IF(D93="","-",+C129+1)</f>
        <v>2039</v>
      </c>
      <c r="D130" s="347">
        <f>IF(F129+SUM(E$99:E129)=D$92,F129,D$92-SUM(E$99:E129))</f>
        <v>424432</v>
      </c>
      <c r="E130" s="486">
        <f>IF(+J96&lt;F129,J96,D130)</f>
        <v>38987</v>
      </c>
      <c r="F130" s="485">
        <f t="shared" si="48"/>
        <v>385445</v>
      </c>
      <c r="G130" s="485">
        <f t="shared" si="49"/>
        <v>404938.5</v>
      </c>
      <c r="H130" s="486">
        <f t="shared" si="50"/>
        <v>83604.19818148631</v>
      </c>
      <c r="I130" s="542">
        <f t="shared" si="51"/>
        <v>83604.19818148631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>
      <c r="B131" s="160" t="str">
        <f t="shared" si="34"/>
        <v/>
      </c>
      <c r="C131" s="472">
        <f>IF(D93="","-",+C130+1)</f>
        <v>2040</v>
      </c>
      <c r="D131" s="347">
        <f>IF(F130+SUM(E$99:E130)=D$92,F130,D$92-SUM(E$99:E130))</f>
        <v>385445</v>
      </c>
      <c r="E131" s="486">
        <f>IF(+J96&lt;F130,J96,D131)</f>
        <v>38987</v>
      </c>
      <c r="F131" s="485">
        <f t="shared" ref="F131:F154" si="52">+D131-E131</f>
        <v>346458</v>
      </c>
      <c r="G131" s="485">
        <f t="shared" ref="G131:G154" si="53">+(F131+D131)/2</f>
        <v>365951.5</v>
      </c>
      <c r="H131" s="486">
        <f t="shared" si="50"/>
        <v>79308.50709382334</v>
      </c>
      <c r="I131" s="542">
        <f t="shared" si="51"/>
        <v>79308.50709382334</v>
      </c>
      <c r="J131" s="478">
        <f t="shared" ref="J131:J154" si="54">+I131-H131</f>
        <v>0</v>
      </c>
      <c r="K131" s="478"/>
      <c r="L131" s="487"/>
      <c r="M131" s="478">
        <f t="shared" ref="M131:M154" si="55">IF(L131&lt;&gt;0,+H131-L131,0)</f>
        <v>0</v>
      </c>
      <c r="N131" s="487"/>
      <c r="O131" s="478">
        <f t="shared" ref="O131:O154" si="56">IF(N131&lt;&gt;0,+I131-N131,0)</f>
        <v>0</v>
      </c>
      <c r="P131" s="478">
        <f t="shared" ref="P131:P154" si="57">+O131-M131</f>
        <v>0</v>
      </c>
    </row>
    <row r="132" spans="2:16">
      <c r="B132" s="160" t="str">
        <f t="shared" si="34"/>
        <v/>
      </c>
      <c r="C132" s="472">
        <f>IF(D93="","-",+C131+1)</f>
        <v>2041</v>
      </c>
      <c r="D132" s="347">
        <f>IF(F131+SUM(E$99:E131)=D$92,F131,D$92-SUM(E$99:E131))</f>
        <v>346458</v>
      </c>
      <c r="E132" s="486">
        <f>IF(+J96&lt;F131,J96,D132)</f>
        <v>38987</v>
      </c>
      <c r="F132" s="485">
        <f t="shared" si="52"/>
        <v>307471</v>
      </c>
      <c r="G132" s="485">
        <f t="shared" si="53"/>
        <v>326964.5</v>
      </c>
      <c r="H132" s="486">
        <f t="shared" si="50"/>
        <v>75012.816006160399</v>
      </c>
      <c r="I132" s="542">
        <f t="shared" si="51"/>
        <v>75012.816006160399</v>
      </c>
      <c r="J132" s="478">
        <f t="shared" si="54"/>
        <v>0</v>
      </c>
      <c r="K132" s="478"/>
      <c r="L132" s="487"/>
      <c r="M132" s="478">
        <f t="shared" si="55"/>
        <v>0</v>
      </c>
      <c r="N132" s="487"/>
      <c r="O132" s="478">
        <f t="shared" si="56"/>
        <v>0</v>
      </c>
      <c r="P132" s="478">
        <f t="shared" si="57"/>
        <v>0</v>
      </c>
    </row>
    <row r="133" spans="2:16">
      <c r="B133" s="160" t="str">
        <f t="shared" si="34"/>
        <v/>
      </c>
      <c r="C133" s="472">
        <f>IF(D93="","-",+C132+1)</f>
        <v>2042</v>
      </c>
      <c r="D133" s="347">
        <f>IF(F132+SUM(E$99:E132)=D$92,F132,D$92-SUM(E$99:E132))</f>
        <v>307471</v>
      </c>
      <c r="E133" s="486">
        <f>IF(+J96&lt;F132,J96,D133)</f>
        <v>38987</v>
      </c>
      <c r="F133" s="485">
        <f t="shared" si="52"/>
        <v>268484</v>
      </c>
      <c r="G133" s="485">
        <f t="shared" si="53"/>
        <v>287977.5</v>
      </c>
      <c r="H133" s="486">
        <f t="shared" si="50"/>
        <v>70717.124918497429</v>
      </c>
      <c r="I133" s="542">
        <f t="shared" si="51"/>
        <v>70717.124918497429</v>
      </c>
      <c r="J133" s="478">
        <f t="shared" si="54"/>
        <v>0</v>
      </c>
      <c r="K133" s="478"/>
      <c r="L133" s="487"/>
      <c r="M133" s="478">
        <f t="shared" si="55"/>
        <v>0</v>
      </c>
      <c r="N133" s="487"/>
      <c r="O133" s="478">
        <f t="shared" si="56"/>
        <v>0</v>
      </c>
      <c r="P133" s="478">
        <f t="shared" si="57"/>
        <v>0</v>
      </c>
    </row>
    <row r="134" spans="2:16">
      <c r="B134" s="160" t="str">
        <f t="shared" si="34"/>
        <v/>
      </c>
      <c r="C134" s="472">
        <f>IF(D93="","-",+C133+1)</f>
        <v>2043</v>
      </c>
      <c r="D134" s="347">
        <f>IF(F133+SUM(E$99:E133)=D$92,F133,D$92-SUM(E$99:E133))</f>
        <v>268484</v>
      </c>
      <c r="E134" s="486">
        <f>IF(+J96&lt;F133,J96,D134)</f>
        <v>38987</v>
      </c>
      <c r="F134" s="485">
        <f t="shared" si="52"/>
        <v>229497</v>
      </c>
      <c r="G134" s="485">
        <f t="shared" si="53"/>
        <v>248990.5</v>
      </c>
      <c r="H134" s="486">
        <f t="shared" si="50"/>
        <v>66421.433830834474</v>
      </c>
      <c r="I134" s="542">
        <f t="shared" si="51"/>
        <v>66421.433830834474</v>
      </c>
      <c r="J134" s="478">
        <f t="shared" si="54"/>
        <v>0</v>
      </c>
      <c r="K134" s="478"/>
      <c r="L134" s="487"/>
      <c r="M134" s="478">
        <f t="shared" si="55"/>
        <v>0</v>
      </c>
      <c r="N134" s="487"/>
      <c r="O134" s="478">
        <f t="shared" si="56"/>
        <v>0</v>
      </c>
      <c r="P134" s="478">
        <f t="shared" si="57"/>
        <v>0</v>
      </c>
    </row>
    <row r="135" spans="2:16">
      <c r="B135" s="160" t="str">
        <f t="shared" si="34"/>
        <v/>
      </c>
      <c r="C135" s="472">
        <f>IF(D93="","-",+C134+1)</f>
        <v>2044</v>
      </c>
      <c r="D135" s="347">
        <f>IF(F134+SUM(E$99:E134)=D$92,F134,D$92-SUM(E$99:E134))</f>
        <v>229497</v>
      </c>
      <c r="E135" s="486">
        <f>IF(+J96&lt;F134,J96,D135)</f>
        <v>38987</v>
      </c>
      <c r="F135" s="485">
        <f t="shared" si="52"/>
        <v>190510</v>
      </c>
      <c r="G135" s="485">
        <f t="shared" si="53"/>
        <v>210003.5</v>
      </c>
      <c r="H135" s="486">
        <f t="shared" si="50"/>
        <v>62125.742743171519</v>
      </c>
      <c r="I135" s="542">
        <f t="shared" si="51"/>
        <v>62125.742743171519</v>
      </c>
      <c r="J135" s="478">
        <f t="shared" si="54"/>
        <v>0</v>
      </c>
      <c r="K135" s="478"/>
      <c r="L135" s="487"/>
      <c r="M135" s="478">
        <f t="shared" si="55"/>
        <v>0</v>
      </c>
      <c r="N135" s="487"/>
      <c r="O135" s="478">
        <f t="shared" si="56"/>
        <v>0</v>
      </c>
      <c r="P135" s="478">
        <f t="shared" si="57"/>
        <v>0</v>
      </c>
    </row>
    <row r="136" spans="2:16">
      <c r="B136" s="160" t="str">
        <f t="shared" si="34"/>
        <v/>
      </c>
      <c r="C136" s="472">
        <f>IF(D93="","-",+C135+1)</f>
        <v>2045</v>
      </c>
      <c r="D136" s="347">
        <f>IF(F135+SUM(E$99:E135)=D$92,F135,D$92-SUM(E$99:E135))</f>
        <v>190510</v>
      </c>
      <c r="E136" s="486">
        <f>IF(+J96&lt;F135,J96,D136)</f>
        <v>38987</v>
      </c>
      <c r="F136" s="485">
        <f t="shared" si="52"/>
        <v>151523</v>
      </c>
      <c r="G136" s="485">
        <f t="shared" si="53"/>
        <v>171016.5</v>
      </c>
      <c r="H136" s="486">
        <f t="shared" si="50"/>
        <v>57830.051655508563</v>
      </c>
      <c r="I136" s="542">
        <f t="shared" si="51"/>
        <v>57830.051655508563</v>
      </c>
      <c r="J136" s="478">
        <f t="shared" si="54"/>
        <v>0</v>
      </c>
      <c r="K136" s="478"/>
      <c r="L136" s="487"/>
      <c r="M136" s="478">
        <f t="shared" si="55"/>
        <v>0</v>
      </c>
      <c r="N136" s="487"/>
      <c r="O136" s="478">
        <f t="shared" si="56"/>
        <v>0</v>
      </c>
      <c r="P136" s="478">
        <f t="shared" si="57"/>
        <v>0</v>
      </c>
    </row>
    <row r="137" spans="2:16">
      <c r="B137" s="160" t="str">
        <f t="shared" si="34"/>
        <v/>
      </c>
      <c r="C137" s="472">
        <f>IF(D93="","-",+C136+1)</f>
        <v>2046</v>
      </c>
      <c r="D137" s="347">
        <f>IF(F136+SUM(E$99:E136)=D$92,F136,D$92-SUM(E$99:E136))</f>
        <v>151523</v>
      </c>
      <c r="E137" s="486">
        <f>IF(+J96&lt;F136,J96,D137)</f>
        <v>38987</v>
      </c>
      <c r="F137" s="485">
        <f t="shared" si="52"/>
        <v>112536</v>
      </c>
      <c r="G137" s="485">
        <f t="shared" si="53"/>
        <v>132029.5</v>
      </c>
      <c r="H137" s="486">
        <f t="shared" si="50"/>
        <v>53534.360567845601</v>
      </c>
      <c r="I137" s="542">
        <f t="shared" si="51"/>
        <v>53534.360567845601</v>
      </c>
      <c r="J137" s="478">
        <f t="shared" si="54"/>
        <v>0</v>
      </c>
      <c r="K137" s="478"/>
      <c r="L137" s="487"/>
      <c r="M137" s="478">
        <f t="shared" si="55"/>
        <v>0</v>
      </c>
      <c r="N137" s="487"/>
      <c r="O137" s="478">
        <f t="shared" si="56"/>
        <v>0</v>
      </c>
      <c r="P137" s="478">
        <f t="shared" si="57"/>
        <v>0</v>
      </c>
    </row>
    <row r="138" spans="2:16">
      <c r="B138" s="160" t="str">
        <f t="shared" si="34"/>
        <v/>
      </c>
      <c r="C138" s="472">
        <f>IF(D93="","-",+C137+1)</f>
        <v>2047</v>
      </c>
      <c r="D138" s="347">
        <f>IF(F137+SUM(E$99:E137)=D$92,F137,D$92-SUM(E$99:E137))</f>
        <v>112536</v>
      </c>
      <c r="E138" s="486">
        <f>IF(+J96&lt;F137,J96,D138)</f>
        <v>38987</v>
      </c>
      <c r="F138" s="485">
        <f t="shared" si="52"/>
        <v>73549</v>
      </c>
      <c r="G138" s="485">
        <f t="shared" si="53"/>
        <v>93042.5</v>
      </c>
      <c r="H138" s="486">
        <f t="shared" si="50"/>
        <v>49238.669480182645</v>
      </c>
      <c r="I138" s="542">
        <f t="shared" si="51"/>
        <v>49238.669480182645</v>
      </c>
      <c r="J138" s="478">
        <f t="shared" si="54"/>
        <v>0</v>
      </c>
      <c r="K138" s="478"/>
      <c r="L138" s="487"/>
      <c r="M138" s="478">
        <f t="shared" si="55"/>
        <v>0</v>
      </c>
      <c r="N138" s="487"/>
      <c r="O138" s="478">
        <f t="shared" si="56"/>
        <v>0</v>
      </c>
      <c r="P138" s="478">
        <f t="shared" si="57"/>
        <v>0</v>
      </c>
    </row>
    <row r="139" spans="2:16">
      <c r="B139" s="160" t="str">
        <f t="shared" si="34"/>
        <v/>
      </c>
      <c r="C139" s="472">
        <f>IF(D93="","-",+C138+1)</f>
        <v>2048</v>
      </c>
      <c r="D139" s="347">
        <f>IF(F138+SUM(E$99:E138)=D$92,F138,D$92-SUM(E$99:E138))</f>
        <v>73549</v>
      </c>
      <c r="E139" s="486">
        <f>IF(+J96&lt;F138,J96,D139)</f>
        <v>38987</v>
      </c>
      <c r="F139" s="485">
        <f t="shared" si="52"/>
        <v>34562</v>
      </c>
      <c r="G139" s="485">
        <f t="shared" si="53"/>
        <v>54055.5</v>
      </c>
      <c r="H139" s="486">
        <f t="shared" si="50"/>
        <v>44942.97839251969</v>
      </c>
      <c r="I139" s="542">
        <f t="shared" si="51"/>
        <v>44942.97839251969</v>
      </c>
      <c r="J139" s="478">
        <f t="shared" si="54"/>
        <v>0</v>
      </c>
      <c r="K139" s="478"/>
      <c r="L139" s="487"/>
      <c r="M139" s="478">
        <f t="shared" si="55"/>
        <v>0</v>
      </c>
      <c r="N139" s="487"/>
      <c r="O139" s="478">
        <f t="shared" si="56"/>
        <v>0</v>
      </c>
      <c r="P139" s="478">
        <f t="shared" si="57"/>
        <v>0</v>
      </c>
    </row>
    <row r="140" spans="2:16">
      <c r="B140" s="160" t="str">
        <f t="shared" si="34"/>
        <v/>
      </c>
      <c r="C140" s="472">
        <f>IF(D93="","-",+C139+1)</f>
        <v>2049</v>
      </c>
      <c r="D140" s="347">
        <f>IF(F139+SUM(E$99:E139)=D$92,F139,D$92-SUM(E$99:E139))</f>
        <v>34562</v>
      </c>
      <c r="E140" s="486">
        <f>IF(+J96&lt;F139,J96,D140)</f>
        <v>34562</v>
      </c>
      <c r="F140" s="485">
        <f t="shared" si="52"/>
        <v>0</v>
      </c>
      <c r="G140" s="485">
        <f t="shared" si="53"/>
        <v>17281</v>
      </c>
      <c r="H140" s="486">
        <f t="shared" si="50"/>
        <v>36466.066424344106</v>
      </c>
      <c r="I140" s="542">
        <f t="shared" si="51"/>
        <v>36466.066424344106</v>
      </c>
      <c r="J140" s="478">
        <f t="shared" si="54"/>
        <v>0</v>
      </c>
      <c r="K140" s="478"/>
      <c r="L140" s="487"/>
      <c r="M140" s="478">
        <f t="shared" si="55"/>
        <v>0</v>
      </c>
      <c r="N140" s="487"/>
      <c r="O140" s="478">
        <f t="shared" si="56"/>
        <v>0</v>
      </c>
      <c r="P140" s="478">
        <f t="shared" si="57"/>
        <v>0</v>
      </c>
    </row>
    <row r="141" spans="2:16">
      <c r="B141" s="160" t="str">
        <f t="shared" si="34"/>
        <v/>
      </c>
      <c r="C141" s="472">
        <f>IF(D93="","-",+C140+1)</f>
        <v>2050</v>
      </c>
      <c r="D141" s="347">
        <f>IF(F140+SUM(E$99:E140)=D$92,F140,D$92-SUM(E$99:E140))</f>
        <v>0</v>
      </c>
      <c r="E141" s="486">
        <f>IF(+J96&lt;F140,J96,D141)</f>
        <v>0</v>
      </c>
      <c r="F141" s="485">
        <f t="shared" si="52"/>
        <v>0</v>
      </c>
      <c r="G141" s="485">
        <f t="shared" si="53"/>
        <v>0</v>
      </c>
      <c r="H141" s="486">
        <f t="shared" si="50"/>
        <v>0</v>
      </c>
      <c r="I141" s="542">
        <f t="shared" si="51"/>
        <v>0</v>
      </c>
      <c r="J141" s="478">
        <f t="shared" si="54"/>
        <v>0</v>
      </c>
      <c r="K141" s="478"/>
      <c r="L141" s="487"/>
      <c r="M141" s="478">
        <f t="shared" si="55"/>
        <v>0</v>
      </c>
      <c r="N141" s="487"/>
      <c r="O141" s="478">
        <f t="shared" si="56"/>
        <v>0</v>
      </c>
      <c r="P141" s="478">
        <f t="shared" si="57"/>
        <v>0</v>
      </c>
    </row>
    <row r="142" spans="2:16">
      <c r="B142" s="160" t="str">
        <f t="shared" si="34"/>
        <v/>
      </c>
      <c r="C142" s="472">
        <f>IF(D93="","-",+C141+1)</f>
        <v>2051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52"/>
        <v>0</v>
      </c>
      <c r="G142" s="485">
        <f t="shared" si="53"/>
        <v>0</v>
      </c>
      <c r="H142" s="486">
        <f t="shared" si="50"/>
        <v>0</v>
      </c>
      <c r="I142" s="542">
        <f t="shared" si="51"/>
        <v>0</v>
      </c>
      <c r="J142" s="478">
        <f t="shared" si="54"/>
        <v>0</v>
      </c>
      <c r="K142" s="478"/>
      <c r="L142" s="487"/>
      <c r="M142" s="478">
        <f t="shared" si="55"/>
        <v>0</v>
      </c>
      <c r="N142" s="487"/>
      <c r="O142" s="478">
        <f t="shared" si="56"/>
        <v>0</v>
      </c>
      <c r="P142" s="478">
        <f t="shared" si="57"/>
        <v>0</v>
      </c>
    </row>
    <row r="143" spans="2:16">
      <c r="B143" s="160" t="str">
        <f t="shared" si="34"/>
        <v/>
      </c>
      <c r="C143" s="472">
        <f>IF(D93="","-",+C142+1)</f>
        <v>2052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52"/>
        <v>0</v>
      </c>
      <c r="G143" s="485">
        <f t="shared" si="53"/>
        <v>0</v>
      </c>
      <c r="H143" s="486">
        <f t="shared" si="50"/>
        <v>0</v>
      </c>
      <c r="I143" s="542">
        <f t="shared" si="51"/>
        <v>0</v>
      </c>
      <c r="J143" s="478">
        <f t="shared" si="54"/>
        <v>0</v>
      </c>
      <c r="K143" s="478"/>
      <c r="L143" s="487"/>
      <c r="M143" s="478">
        <f t="shared" si="55"/>
        <v>0</v>
      </c>
      <c r="N143" s="487"/>
      <c r="O143" s="478">
        <f t="shared" si="56"/>
        <v>0</v>
      </c>
      <c r="P143" s="478">
        <f t="shared" si="57"/>
        <v>0</v>
      </c>
    </row>
    <row r="144" spans="2:16">
      <c r="B144" s="160" t="str">
        <f t="shared" si="34"/>
        <v/>
      </c>
      <c r="C144" s="472">
        <f>IF(D93="","-",+C143+1)</f>
        <v>2053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52"/>
        <v>0</v>
      </c>
      <c r="G144" s="485">
        <f t="shared" si="53"/>
        <v>0</v>
      </c>
      <c r="H144" s="486">
        <f t="shared" si="50"/>
        <v>0</v>
      </c>
      <c r="I144" s="542">
        <f t="shared" si="51"/>
        <v>0</v>
      </c>
      <c r="J144" s="478">
        <f t="shared" si="54"/>
        <v>0</v>
      </c>
      <c r="K144" s="478"/>
      <c r="L144" s="487"/>
      <c r="M144" s="478">
        <f t="shared" si="55"/>
        <v>0</v>
      </c>
      <c r="N144" s="487"/>
      <c r="O144" s="478">
        <f t="shared" si="56"/>
        <v>0</v>
      </c>
      <c r="P144" s="478">
        <f t="shared" si="57"/>
        <v>0</v>
      </c>
    </row>
    <row r="145" spans="2:16">
      <c r="B145" s="160" t="str">
        <f t="shared" si="34"/>
        <v/>
      </c>
      <c r="C145" s="472">
        <f>IF(D93="","-",+C144+1)</f>
        <v>2054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52"/>
        <v>0</v>
      </c>
      <c r="G145" s="485">
        <f t="shared" si="53"/>
        <v>0</v>
      </c>
      <c r="H145" s="486">
        <f t="shared" si="50"/>
        <v>0</v>
      </c>
      <c r="I145" s="542">
        <f t="shared" si="51"/>
        <v>0</v>
      </c>
      <c r="J145" s="478">
        <f t="shared" si="54"/>
        <v>0</v>
      </c>
      <c r="K145" s="478"/>
      <c r="L145" s="487"/>
      <c r="M145" s="478">
        <f t="shared" si="55"/>
        <v>0</v>
      </c>
      <c r="N145" s="487"/>
      <c r="O145" s="478">
        <f t="shared" si="56"/>
        <v>0</v>
      </c>
      <c r="P145" s="478">
        <f t="shared" si="57"/>
        <v>0</v>
      </c>
    </row>
    <row r="146" spans="2:16">
      <c r="B146" s="160" t="str">
        <f t="shared" si="34"/>
        <v/>
      </c>
      <c r="C146" s="472">
        <f>IF(D93="","-",+C145+1)</f>
        <v>2055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52"/>
        <v>0</v>
      </c>
      <c r="G146" s="485">
        <f t="shared" si="53"/>
        <v>0</v>
      </c>
      <c r="H146" s="486">
        <f t="shared" si="50"/>
        <v>0</v>
      </c>
      <c r="I146" s="542">
        <f t="shared" si="51"/>
        <v>0</v>
      </c>
      <c r="J146" s="478">
        <f t="shared" si="54"/>
        <v>0</v>
      </c>
      <c r="K146" s="478"/>
      <c r="L146" s="487"/>
      <c r="M146" s="478">
        <f t="shared" si="55"/>
        <v>0</v>
      </c>
      <c r="N146" s="487"/>
      <c r="O146" s="478">
        <f t="shared" si="56"/>
        <v>0</v>
      </c>
      <c r="P146" s="478">
        <f t="shared" si="57"/>
        <v>0</v>
      </c>
    </row>
    <row r="147" spans="2:16">
      <c r="B147" s="160" t="str">
        <f t="shared" si="34"/>
        <v/>
      </c>
      <c r="C147" s="472">
        <f>IF(D93="","-",+C146+1)</f>
        <v>2056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2"/>
        <v>0</v>
      </c>
      <c r="G147" s="485">
        <f t="shared" si="53"/>
        <v>0</v>
      </c>
      <c r="H147" s="486">
        <f t="shared" si="50"/>
        <v>0</v>
      </c>
      <c r="I147" s="542">
        <f t="shared" si="51"/>
        <v>0</v>
      </c>
      <c r="J147" s="478">
        <f t="shared" si="54"/>
        <v>0</v>
      </c>
      <c r="K147" s="478"/>
      <c r="L147" s="487"/>
      <c r="M147" s="478">
        <f t="shared" si="55"/>
        <v>0</v>
      </c>
      <c r="N147" s="487"/>
      <c r="O147" s="478">
        <f t="shared" si="56"/>
        <v>0</v>
      </c>
      <c r="P147" s="478">
        <f t="shared" si="57"/>
        <v>0</v>
      </c>
    </row>
    <row r="148" spans="2:16">
      <c r="B148" s="160" t="str">
        <f t="shared" si="34"/>
        <v/>
      </c>
      <c r="C148" s="472">
        <f>IF(D93="","-",+C147+1)</f>
        <v>2057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2"/>
        <v>0</v>
      </c>
      <c r="G148" s="485">
        <f t="shared" si="53"/>
        <v>0</v>
      </c>
      <c r="H148" s="486">
        <f t="shared" si="50"/>
        <v>0</v>
      </c>
      <c r="I148" s="542">
        <f t="shared" si="51"/>
        <v>0</v>
      </c>
      <c r="J148" s="478">
        <f t="shared" si="54"/>
        <v>0</v>
      </c>
      <c r="K148" s="478"/>
      <c r="L148" s="487"/>
      <c r="M148" s="478">
        <f t="shared" si="55"/>
        <v>0</v>
      </c>
      <c r="N148" s="487"/>
      <c r="O148" s="478">
        <f t="shared" si="56"/>
        <v>0</v>
      </c>
      <c r="P148" s="478">
        <f t="shared" si="57"/>
        <v>0</v>
      </c>
    </row>
    <row r="149" spans="2:16">
      <c r="B149" s="160" t="str">
        <f t="shared" si="34"/>
        <v/>
      </c>
      <c r="C149" s="472">
        <f>IF(D93="","-",+C148+1)</f>
        <v>2058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2"/>
        <v>0</v>
      </c>
      <c r="G149" s="485">
        <f t="shared" si="53"/>
        <v>0</v>
      </c>
      <c r="H149" s="486">
        <f t="shared" si="50"/>
        <v>0</v>
      </c>
      <c r="I149" s="542">
        <f t="shared" si="51"/>
        <v>0</v>
      </c>
      <c r="J149" s="478">
        <f t="shared" si="54"/>
        <v>0</v>
      </c>
      <c r="K149" s="478"/>
      <c r="L149" s="487"/>
      <c r="M149" s="478">
        <f t="shared" si="55"/>
        <v>0</v>
      </c>
      <c r="N149" s="487"/>
      <c r="O149" s="478">
        <f t="shared" si="56"/>
        <v>0</v>
      </c>
      <c r="P149" s="478">
        <f t="shared" si="57"/>
        <v>0</v>
      </c>
    </row>
    <row r="150" spans="2:16">
      <c r="B150" s="160" t="str">
        <f t="shared" si="34"/>
        <v/>
      </c>
      <c r="C150" s="472">
        <f>IF(D93="","-",+C149+1)</f>
        <v>2059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2"/>
        <v>0</v>
      </c>
      <c r="G150" s="485">
        <f t="shared" si="53"/>
        <v>0</v>
      </c>
      <c r="H150" s="486">
        <f t="shared" si="50"/>
        <v>0</v>
      </c>
      <c r="I150" s="542">
        <f t="shared" si="51"/>
        <v>0</v>
      </c>
      <c r="J150" s="478">
        <f t="shared" si="54"/>
        <v>0</v>
      </c>
      <c r="K150" s="478"/>
      <c r="L150" s="487"/>
      <c r="M150" s="478">
        <f t="shared" si="55"/>
        <v>0</v>
      </c>
      <c r="N150" s="487"/>
      <c r="O150" s="478">
        <f t="shared" si="56"/>
        <v>0</v>
      </c>
      <c r="P150" s="478">
        <f t="shared" si="57"/>
        <v>0</v>
      </c>
    </row>
    <row r="151" spans="2:16">
      <c r="B151" s="160" t="str">
        <f t="shared" si="34"/>
        <v/>
      </c>
      <c r="C151" s="472">
        <f>IF(D93="","-",+C150+1)</f>
        <v>2060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2"/>
        <v>0</v>
      </c>
      <c r="G151" s="485">
        <f t="shared" si="53"/>
        <v>0</v>
      </c>
      <c r="H151" s="486">
        <f t="shared" si="50"/>
        <v>0</v>
      </c>
      <c r="I151" s="542">
        <f t="shared" si="51"/>
        <v>0</v>
      </c>
      <c r="J151" s="478">
        <f t="shared" si="54"/>
        <v>0</v>
      </c>
      <c r="K151" s="478"/>
      <c r="L151" s="487"/>
      <c r="M151" s="478">
        <f t="shared" si="55"/>
        <v>0</v>
      </c>
      <c r="N151" s="487"/>
      <c r="O151" s="478">
        <f t="shared" si="56"/>
        <v>0</v>
      </c>
      <c r="P151" s="478">
        <f t="shared" si="57"/>
        <v>0</v>
      </c>
    </row>
    <row r="152" spans="2:16">
      <c r="B152" s="160" t="str">
        <f t="shared" si="34"/>
        <v/>
      </c>
      <c r="C152" s="472">
        <f>IF(D93="","-",+C151+1)</f>
        <v>2061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2"/>
        <v>0</v>
      </c>
      <c r="G152" s="485">
        <f t="shared" si="53"/>
        <v>0</v>
      </c>
      <c r="H152" s="486">
        <f t="shared" si="50"/>
        <v>0</v>
      </c>
      <c r="I152" s="542">
        <f t="shared" si="51"/>
        <v>0</v>
      </c>
      <c r="J152" s="478">
        <f t="shared" si="54"/>
        <v>0</v>
      </c>
      <c r="K152" s="478"/>
      <c r="L152" s="487"/>
      <c r="M152" s="478">
        <f t="shared" si="55"/>
        <v>0</v>
      </c>
      <c r="N152" s="487"/>
      <c r="O152" s="478">
        <f t="shared" si="56"/>
        <v>0</v>
      </c>
      <c r="P152" s="478">
        <f t="shared" si="57"/>
        <v>0</v>
      </c>
    </row>
    <row r="153" spans="2:16">
      <c r="B153" s="160" t="str">
        <f t="shared" si="34"/>
        <v/>
      </c>
      <c r="C153" s="472">
        <f>IF(D93="","-",+C152+1)</f>
        <v>2062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2"/>
        <v>0</v>
      </c>
      <c r="G153" s="485">
        <f t="shared" si="53"/>
        <v>0</v>
      </c>
      <c r="H153" s="486">
        <f t="shared" si="50"/>
        <v>0</v>
      </c>
      <c r="I153" s="542">
        <f t="shared" si="51"/>
        <v>0</v>
      </c>
      <c r="J153" s="478">
        <f t="shared" si="54"/>
        <v>0</v>
      </c>
      <c r="K153" s="478"/>
      <c r="L153" s="487"/>
      <c r="M153" s="478">
        <f t="shared" si="55"/>
        <v>0</v>
      </c>
      <c r="N153" s="487"/>
      <c r="O153" s="478">
        <f t="shared" si="56"/>
        <v>0</v>
      </c>
      <c r="P153" s="478">
        <f t="shared" si="57"/>
        <v>0</v>
      </c>
    </row>
    <row r="154" spans="2:16" ht="13.5" thickBot="1">
      <c r="B154" s="160" t="str">
        <f t="shared" si="34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2"/>
        <v>0</v>
      </c>
      <c r="G154" s="490">
        <f t="shared" si="53"/>
        <v>0</v>
      </c>
      <c r="H154" s="492">
        <f t="shared" ref="H154" si="58">+J$94*G154+E154</f>
        <v>0</v>
      </c>
      <c r="I154" s="545">
        <f t="shared" ref="I154" si="59">+J$95*G154+E154</f>
        <v>0</v>
      </c>
      <c r="J154" s="495">
        <f t="shared" si="54"/>
        <v>0</v>
      </c>
      <c r="K154" s="478"/>
      <c r="L154" s="494"/>
      <c r="M154" s="495">
        <f t="shared" si="55"/>
        <v>0</v>
      </c>
      <c r="N154" s="494"/>
      <c r="O154" s="495">
        <f t="shared" si="56"/>
        <v>0</v>
      </c>
      <c r="P154" s="495">
        <f t="shared" si="57"/>
        <v>0</v>
      </c>
    </row>
    <row r="155" spans="2:16">
      <c r="C155" s="347" t="s">
        <v>77</v>
      </c>
      <c r="D155" s="348"/>
      <c r="E155" s="348">
        <f>SUM(E99:E154)</f>
        <v>1520502</v>
      </c>
      <c r="F155" s="348"/>
      <c r="G155" s="348"/>
      <c r="H155" s="348">
        <f>SUM(H99:H154)</f>
        <v>5556406.1683331905</v>
      </c>
      <c r="I155" s="348">
        <f>SUM(I99:I154)</f>
        <v>5556406.1683331905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My84LzIwMjIgMzoyMzox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MToyOToyM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5F1F881-7F06-4AB5-9F41-E5D34AB4B29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9845A45-0889-44FB-A4C9-582E6FB56C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28</vt:i4>
      </vt:variant>
    </vt:vector>
  </HeadingPairs>
  <TitlesOfParts>
    <vt:vector size="63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P.030</vt:lpstr>
      <vt:lpstr>P.031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s349016</cp:lastModifiedBy>
  <cp:lastPrinted>2023-05-24T19:37:22Z</cp:lastPrinted>
  <dcterms:created xsi:type="dcterms:W3CDTF">2009-05-11T14:02:48Z</dcterms:created>
  <dcterms:modified xsi:type="dcterms:W3CDTF">2023-05-24T19:38:08Z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{C5F1F881-7F06-4AB5-9F41-E5D34AB4B292}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